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fslebre\Documents\FLO\files\"/>
    </mc:Choice>
  </mc:AlternateContent>
  <workbookProtection workbookAlgorithmName="SHA-512" workbookHashValue="kRUW8IH//vT4xaUNPodvln7GmxLGmOZ8TXIB9rw87zDEc6hq2pDGa1Br0ksoDV8mWs+oYXS7e2Q5COwlsYBouw==" workbookSaltValue="ge3dEn2BAhCZA97o2PnG4Q==" workbookSpinCount="100000" lockStructure="1"/>
  <bookViews>
    <workbookView xWindow="0" yWindow="0" windowWidth="19200" windowHeight="11595" firstSheet="6" activeTab="6"/>
  </bookViews>
  <sheets>
    <sheet name="GrpF" sheetId="17" state="hidden" r:id="rId1"/>
    <sheet name="GrpE" sheetId="16" state="hidden" r:id="rId2"/>
    <sheet name="GrpD" sheetId="15" state="hidden" r:id="rId3"/>
    <sheet name="GrpC" sheetId="14" state="hidden" r:id="rId4"/>
    <sheet name="GrpB" sheetId="13" state="hidden" r:id="rId5"/>
    <sheet name="GrpA" sheetId="7" state="hidden" r:id="rId6"/>
    <sheet name="Wallchart" sheetId="9" r:id="rId7"/>
    <sheet name="Change log" sheetId="30" state="hidden" r:id="rId8"/>
    <sheet name="3rd place" sheetId="20" state="hidden" r:id="rId9"/>
    <sheet name="Match data" sheetId="1" state="hidden" r:id="rId10"/>
    <sheet name="Config" sheetId="2" state="hidden" r:id="rId11"/>
    <sheet name="Aff" sheetId="21" state="hidden" r:id="rId12"/>
    <sheet name="Time" sheetId="19" state="hidden" r:id="rId13"/>
    <sheet name="MSAdd1" sheetId="23" state="hidden" r:id="rId14"/>
    <sheet name="MSAdd2" sheetId="27" state="hidden" r:id="rId15"/>
    <sheet name="MSAdd3" sheetId="28" state="hidden" r:id="rId16"/>
    <sheet name="MSAdd4" sheetId="29" state="hidden" r:id="rId17"/>
    <sheet name="Teams" sheetId="18" state="hidden" r:id="rId18"/>
  </sheets>
  <definedNames>
    <definedName name="_xlnm._FilterDatabase" localSheetId="9" hidden="1">'Match data'!$A$1:$O$63</definedName>
    <definedName name="_xlnm._FilterDatabase" localSheetId="12" hidden="1">Time!$A$86:$A$126</definedName>
    <definedName name="_xlnm._FilterDatabase" localSheetId="6" hidden="1">Wallchart!$B$12:$K$58</definedName>
    <definedName name="_xlnm.Print_Area" localSheetId="6">Wallchart!$A$1:$V$77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K19" i="9"/>
  <c r="D74" i="9" l="1"/>
  <c r="E71" i="9"/>
  <c r="D68" i="9"/>
  <c r="D67" i="9"/>
  <c r="D64" i="9"/>
  <c r="D63" i="9"/>
  <c r="D62" i="9"/>
  <c r="D61" i="9"/>
  <c r="D58" i="9"/>
  <c r="D57" i="9"/>
  <c r="D56" i="9"/>
  <c r="D55" i="9"/>
  <c r="D54" i="9"/>
  <c r="D53" i="9"/>
  <c r="D52" i="9"/>
  <c r="D51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Q4" i="9"/>
  <c r="F16" i="9" l="1"/>
  <c r="F76" i="21" l="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C5" i="2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F4" i="21"/>
  <c r="C4" i="21"/>
  <c r="F3" i="21"/>
  <c r="I6" i="16"/>
  <c r="F6" i="16"/>
  <c r="E6" i="16"/>
  <c r="I7" i="15"/>
  <c r="F7" i="15"/>
  <c r="E7" i="15"/>
  <c r="I8" i="15"/>
  <c r="F8" i="15"/>
  <c r="E8" i="15"/>
  <c r="I5" i="15"/>
  <c r="F5" i="15"/>
  <c r="E5" i="15"/>
  <c r="I6" i="15"/>
  <c r="F6" i="15"/>
  <c r="E6" i="15"/>
  <c r="I4" i="15"/>
  <c r="F4" i="15"/>
  <c r="E4" i="15"/>
  <c r="I8" i="14"/>
  <c r="F8" i="14"/>
  <c r="E8" i="14"/>
  <c r="I7" i="14"/>
  <c r="F7" i="14"/>
  <c r="E7" i="14"/>
  <c r="I5" i="14"/>
  <c r="F5" i="14"/>
  <c r="E5" i="14"/>
  <c r="I6" i="14"/>
  <c r="F6" i="14"/>
  <c r="E6" i="14"/>
  <c r="I4" i="14"/>
  <c r="F4" i="14"/>
  <c r="E4" i="14"/>
  <c r="I8" i="13"/>
  <c r="F8" i="13"/>
  <c r="E8" i="13"/>
  <c r="I7" i="13"/>
  <c r="F7" i="13"/>
  <c r="E7" i="1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2" i="1"/>
  <c r="I6" i="13"/>
  <c r="F6" i="13"/>
  <c r="E6" i="13"/>
  <c r="I7" i="7"/>
  <c r="F7" i="7"/>
  <c r="E7" i="7"/>
  <c r="I8" i="7"/>
  <c r="F8" i="7"/>
  <c r="E8" i="7"/>
  <c r="I6" i="7"/>
  <c r="F6" i="7"/>
  <c r="E6" i="7"/>
  <c r="C77" i="19" l="1"/>
  <c r="D77" i="19" s="1"/>
  <c r="C76" i="19"/>
  <c r="C75" i="19"/>
  <c r="D75" i="19" s="1"/>
  <c r="C74" i="19"/>
  <c r="D74" i="19" s="1"/>
  <c r="C73" i="19"/>
  <c r="D73" i="19" s="1"/>
  <c r="C72" i="19"/>
  <c r="D72" i="19" s="1"/>
  <c r="C71" i="19"/>
  <c r="D71" i="19" s="1"/>
  <c r="C70" i="19"/>
  <c r="D70" i="19" s="1"/>
  <c r="C69" i="19"/>
  <c r="C68" i="19"/>
  <c r="D68" i="19" s="1"/>
  <c r="C67" i="19"/>
  <c r="D67" i="19" s="1"/>
  <c r="C66" i="19"/>
  <c r="D66" i="19" s="1"/>
  <c r="D69" i="19"/>
  <c r="C65" i="19"/>
  <c r="D65" i="19" s="1"/>
  <c r="C64" i="19"/>
  <c r="D64" i="19" s="1"/>
  <c r="C63" i="19"/>
  <c r="D63" i="19" s="1"/>
  <c r="C62" i="19"/>
  <c r="C61" i="19"/>
  <c r="C60" i="19"/>
  <c r="D60" i="19" s="1"/>
  <c r="C59" i="19"/>
  <c r="D59" i="19" s="1"/>
  <c r="C58" i="19"/>
  <c r="D58" i="19" s="1"/>
  <c r="D61" i="19"/>
  <c r="C57" i="19"/>
  <c r="D57" i="19" s="1"/>
  <c r="C56" i="19"/>
  <c r="D56" i="19" s="1"/>
  <c r="C55" i="19"/>
  <c r="D55" i="19" s="1"/>
  <c r="C54" i="19"/>
  <c r="C53" i="19"/>
  <c r="D53" i="19" s="1"/>
  <c r="C51" i="19"/>
  <c r="D51" i="19" s="1"/>
  <c r="C52" i="19"/>
  <c r="D52" i="19" s="1"/>
  <c r="D54" i="19"/>
  <c r="D62" i="19"/>
  <c r="D76" i="19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2" i="1"/>
  <c r="I8" i="17"/>
  <c r="F8" i="17"/>
  <c r="E8" i="17"/>
  <c r="I7" i="17"/>
  <c r="F7" i="17"/>
  <c r="E7" i="17"/>
  <c r="I6" i="17"/>
  <c r="F6" i="17"/>
  <c r="E6" i="17"/>
  <c r="I5" i="17"/>
  <c r="F5" i="17"/>
  <c r="E5" i="17"/>
  <c r="I4" i="17"/>
  <c r="F4" i="17"/>
  <c r="E4" i="17"/>
  <c r="I3" i="17"/>
  <c r="F3" i="17"/>
  <c r="E3" i="17"/>
  <c r="F8" i="16"/>
  <c r="E8" i="16"/>
  <c r="I8" i="16"/>
  <c r="I7" i="16"/>
  <c r="F7" i="16"/>
  <c r="E7" i="16"/>
  <c r="I5" i="16"/>
  <c r="F5" i="16"/>
  <c r="E5" i="16"/>
  <c r="I4" i="16"/>
  <c r="F4" i="16"/>
  <c r="E4" i="16"/>
  <c r="I3" i="16"/>
  <c r="F3" i="16"/>
  <c r="E3" i="16"/>
  <c r="I3" i="15"/>
  <c r="F3" i="15"/>
  <c r="E3" i="15"/>
  <c r="I3" i="14"/>
  <c r="F3" i="14"/>
  <c r="E3" i="14"/>
  <c r="H5" i="14" l="1"/>
  <c r="G3" i="15"/>
  <c r="H7" i="15"/>
  <c r="H5" i="16"/>
  <c r="G7" i="17"/>
  <c r="G4" i="14"/>
  <c r="H6" i="15"/>
  <c r="H8" i="15"/>
  <c r="H4" i="16"/>
  <c r="H6" i="17"/>
  <c r="H3" i="14"/>
  <c r="H7" i="14"/>
  <c r="H5" i="15"/>
  <c r="H3" i="16"/>
  <c r="H7" i="16"/>
  <c r="H5" i="17"/>
  <c r="G6" i="14"/>
  <c r="H8" i="14"/>
  <c r="H6" i="16"/>
  <c r="H8" i="16"/>
  <c r="G4" i="17"/>
  <c r="G8" i="17"/>
  <c r="G7" i="16"/>
  <c r="G5" i="16"/>
  <c r="H3" i="17"/>
  <c r="G3" i="17"/>
  <c r="H8" i="17"/>
  <c r="H7" i="17"/>
  <c r="G6" i="17"/>
  <c r="G5" i="17"/>
  <c r="H4" i="17"/>
  <c r="G8" i="16"/>
  <c r="G6" i="16"/>
  <c r="G4" i="16"/>
  <c r="G3" i="16"/>
  <c r="G4" i="15"/>
  <c r="G8" i="15"/>
  <c r="G7" i="15"/>
  <c r="G6" i="15"/>
  <c r="G5" i="15"/>
  <c r="H4" i="15"/>
  <c r="H3" i="15"/>
  <c r="G8" i="14"/>
  <c r="G7" i="14"/>
  <c r="H6" i="14"/>
  <c r="G5" i="14"/>
  <c r="H4" i="14"/>
  <c r="G3" i="14"/>
  <c r="H7" i="13" l="1"/>
  <c r="I4" i="13"/>
  <c r="F4" i="13"/>
  <c r="E4" i="13"/>
  <c r="I3" i="13"/>
  <c r="F3" i="13"/>
  <c r="E3" i="13"/>
  <c r="H3" i="13" l="1"/>
  <c r="G7" i="13"/>
  <c r="G8" i="13"/>
  <c r="H8" i="13"/>
  <c r="H4" i="13"/>
  <c r="G4" i="13"/>
  <c r="G3" i="13"/>
  <c r="E69" i="19" l="1"/>
  <c r="E70" i="19" s="1"/>
  <c r="E71" i="19" s="1"/>
  <c r="E72" i="19" s="1"/>
  <c r="E73" i="19" s="1"/>
  <c r="E74" i="19" s="1"/>
  <c r="E75" i="19" s="1"/>
  <c r="E76" i="19" s="1"/>
  <c r="E77" i="19" s="1"/>
  <c r="E65" i="19"/>
  <c r="E66" i="19" s="1"/>
  <c r="E67" i="19" s="1"/>
  <c r="E68" i="19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2" i="2"/>
  <c r="K32" i="1" l="1"/>
  <c r="W32" i="1"/>
  <c r="K22" i="1"/>
  <c r="W21" i="1"/>
  <c r="K28" i="1"/>
  <c r="W28" i="1"/>
  <c r="H20" i="1"/>
  <c r="T22" i="1"/>
  <c r="H28" i="1"/>
  <c r="T28" i="1"/>
  <c r="W27" i="1"/>
  <c r="K27" i="1"/>
  <c r="H22" i="1"/>
  <c r="K33" i="1"/>
  <c r="W33" i="1"/>
  <c r="T21" i="1"/>
  <c r="K31" i="1"/>
  <c r="W31" i="1"/>
  <c r="T20" i="1"/>
  <c r="K29" i="1"/>
  <c r="W29" i="1"/>
  <c r="K30" i="1"/>
  <c r="W30" i="1"/>
  <c r="W20" i="1"/>
  <c r="K26" i="1"/>
  <c r="W26" i="1"/>
  <c r="T19" i="1"/>
  <c r="H32" i="1"/>
  <c r="T32" i="1"/>
  <c r="H21" i="1"/>
  <c r="H30" i="1"/>
  <c r="T30" i="1"/>
  <c r="H26" i="1"/>
  <c r="T26" i="1"/>
  <c r="W22" i="1"/>
  <c r="K20" i="1"/>
  <c r="K21" i="1"/>
  <c r="T33" i="1"/>
  <c r="W19" i="1"/>
  <c r="H33" i="1"/>
  <c r="H31" i="1"/>
  <c r="T31" i="1"/>
  <c r="T29" i="1"/>
  <c r="H29" i="1"/>
  <c r="H27" i="1"/>
  <c r="T27" i="1"/>
  <c r="I5" i="7"/>
  <c r="F5" i="7"/>
  <c r="E5" i="7"/>
  <c r="H5" i="7" l="1"/>
  <c r="H7" i="7"/>
  <c r="H6" i="7"/>
  <c r="H8" i="7"/>
  <c r="G7" i="7"/>
  <c r="G8" i="7"/>
  <c r="G6" i="7"/>
  <c r="G5" i="7"/>
  <c r="D10" i="1"/>
  <c r="H84" i="2" l="1"/>
  <c r="H85" i="2" s="1"/>
  <c r="H59" i="2"/>
  <c r="H60" i="2" s="1"/>
  <c r="B77" i="21" l="1"/>
  <c r="A77" i="21"/>
  <c r="A79" i="21" s="1"/>
  <c r="A52" i="21"/>
  <c r="A54" i="21" s="1"/>
  <c r="B52" i="21"/>
  <c r="L6" i="16"/>
  <c r="M5" i="16"/>
  <c r="N4" i="16"/>
  <c r="M5" i="14"/>
  <c r="L6" i="15"/>
  <c r="M5" i="15"/>
  <c r="N4" i="15"/>
  <c r="K6" i="16"/>
  <c r="N5" i="15"/>
  <c r="K6" i="15"/>
  <c r="M4" i="15"/>
  <c r="M4" i="14"/>
  <c r="N6" i="17"/>
  <c r="K5" i="16"/>
  <c r="Q2" i="9"/>
  <c r="E1" i="17"/>
  <c r="D1" i="17"/>
  <c r="J20" i="17" s="1"/>
  <c r="C1" i="17"/>
  <c r="Q17" i="17" s="1"/>
  <c r="B1" i="17"/>
  <c r="J18" i="17" s="1"/>
  <c r="E1" i="16"/>
  <c r="S17" i="16" s="1"/>
  <c r="D1" i="16"/>
  <c r="M10" i="16" s="1"/>
  <c r="C1" i="16"/>
  <c r="D8" i="16" s="1"/>
  <c r="B1" i="16"/>
  <c r="E1" i="15"/>
  <c r="S17" i="15" s="1"/>
  <c r="D1" i="15"/>
  <c r="M3" i="15" s="1"/>
  <c r="C1" i="15"/>
  <c r="L3" i="15" s="1"/>
  <c r="B1" i="15"/>
  <c r="K10" i="15" s="1"/>
  <c r="E1" i="14"/>
  <c r="S10" i="14" s="1"/>
  <c r="D1" i="14"/>
  <c r="C1" i="14"/>
  <c r="B1" i="14"/>
  <c r="D7" i="14" s="1"/>
  <c r="V58" i="9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J12" i="17" l="1"/>
  <c r="D8" i="17"/>
  <c r="Q10" i="17"/>
  <c r="B3" i="14"/>
  <c r="K3" i="17"/>
  <c r="P17" i="17"/>
  <c r="L3" i="17"/>
  <c r="Q17" i="15"/>
  <c r="J19" i="17"/>
  <c r="Q3" i="17"/>
  <c r="L17" i="17"/>
  <c r="A27" i="17"/>
  <c r="L10" i="17"/>
  <c r="L3" i="16"/>
  <c r="Q3" i="16"/>
  <c r="N17" i="15"/>
  <c r="N10" i="15"/>
  <c r="D8" i="15"/>
  <c r="Q3" i="15"/>
  <c r="B8" i="17"/>
  <c r="M3" i="16"/>
  <c r="R17" i="17"/>
  <c r="B4" i="17"/>
  <c r="R10" i="17"/>
  <c r="A28" i="17"/>
  <c r="D5" i="17"/>
  <c r="J13" i="17"/>
  <c r="J6" i="17"/>
  <c r="M10" i="17"/>
  <c r="K5" i="15"/>
  <c r="N5" i="16"/>
  <c r="L6" i="17"/>
  <c r="K6" i="17"/>
  <c r="N5" i="14"/>
  <c r="L7" i="14"/>
  <c r="K7" i="17"/>
  <c r="N4" i="14"/>
  <c r="M4" i="17"/>
  <c r="K7" i="14"/>
  <c r="M4" i="16"/>
  <c r="M11" i="16" s="1"/>
  <c r="M18" i="16" s="1"/>
  <c r="N10" i="16"/>
  <c r="P3" i="17"/>
  <c r="A26" i="17"/>
  <c r="N17" i="16"/>
  <c r="K17" i="17"/>
  <c r="C28" i="16"/>
  <c r="I28" i="16" s="1"/>
  <c r="M12" i="16"/>
  <c r="M19" i="16" s="1"/>
  <c r="M11" i="15"/>
  <c r="M18" i="15" s="1"/>
  <c r="L13" i="15"/>
  <c r="L20" i="15" s="1"/>
  <c r="M12" i="15"/>
  <c r="M19" i="15" s="1"/>
  <c r="L4" i="17"/>
  <c r="L13" i="16"/>
  <c r="L20" i="16" s="1"/>
  <c r="M5" i="17"/>
  <c r="Q17" i="16"/>
  <c r="N3" i="16"/>
  <c r="A29" i="16"/>
  <c r="S3" i="16"/>
  <c r="D6" i="16"/>
  <c r="S10" i="16"/>
  <c r="D4" i="16"/>
  <c r="B7" i="16"/>
  <c r="A29" i="15"/>
  <c r="S3" i="15"/>
  <c r="N3" i="15"/>
  <c r="M10" i="15"/>
  <c r="D6" i="15"/>
  <c r="S10" i="15"/>
  <c r="D4" i="15"/>
  <c r="B7" i="15"/>
  <c r="N10" i="14"/>
  <c r="B7" i="14"/>
  <c r="S10" i="17"/>
  <c r="N10" i="17"/>
  <c r="S17" i="17"/>
  <c r="N17" i="17"/>
  <c r="D6" i="17"/>
  <c r="S3" i="17"/>
  <c r="N3" i="17"/>
  <c r="B7" i="17"/>
  <c r="C27" i="17"/>
  <c r="K5" i="17"/>
  <c r="D4" i="17"/>
  <c r="N5" i="17"/>
  <c r="J7" i="17"/>
  <c r="N4" i="17"/>
  <c r="J21" i="17"/>
  <c r="A29" i="17"/>
  <c r="D7" i="17"/>
  <c r="J11" i="17"/>
  <c r="P10" i="17"/>
  <c r="K10" i="17"/>
  <c r="B5" i="17"/>
  <c r="J4" i="17"/>
  <c r="B3" i="17"/>
  <c r="J14" i="17"/>
  <c r="M7" i="17"/>
  <c r="D29" i="17"/>
  <c r="D3" i="17"/>
  <c r="M3" i="17"/>
  <c r="R3" i="17"/>
  <c r="J5" i="17"/>
  <c r="B6" i="17"/>
  <c r="M17" i="17"/>
  <c r="D7" i="16"/>
  <c r="A26" i="16"/>
  <c r="J18" i="16"/>
  <c r="P17" i="16"/>
  <c r="K17" i="16"/>
  <c r="P3" i="16"/>
  <c r="K3" i="16"/>
  <c r="B3" i="16"/>
  <c r="R17" i="16"/>
  <c r="M17" i="16"/>
  <c r="A28" i="16"/>
  <c r="J20" i="16"/>
  <c r="B8" i="16"/>
  <c r="D5" i="16"/>
  <c r="B4" i="16"/>
  <c r="J4" i="16"/>
  <c r="L7" i="16"/>
  <c r="P10" i="16"/>
  <c r="L17" i="16"/>
  <c r="C27" i="16"/>
  <c r="R3" i="16"/>
  <c r="B5" i="16"/>
  <c r="K10" i="16"/>
  <c r="R10" i="16"/>
  <c r="J12" i="16"/>
  <c r="B6" i="16"/>
  <c r="J5" i="16"/>
  <c r="A27" i="16"/>
  <c r="J19" i="16"/>
  <c r="Q10" i="16"/>
  <c r="L10" i="16"/>
  <c r="D3" i="16"/>
  <c r="J6" i="16"/>
  <c r="J11" i="16"/>
  <c r="J13" i="16"/>
  <c r="D29" i="16"/>
  <c r="N6" i="16"/>
  <c r="J7" i="16"/>
  <c r="J14" i="16"/>
  <c r="J21" i="16"/>
  <c r="R17" i="15"/>
  <c r="M17" i="15"/>
  <c r="A28" i="15"/>
  <c r="J20" i="15"/>
  <c r="B8" i="15"/>
  <c r="D5" i="15"/>
  <c r="B4" i="15"/>
  <c r="C26" i="15"/>
  <c r="L4" i="15"/>
  <c r="D27" i="15"/>
  <c r="C28" i="15"/>
  <c r="N6" i="15"/>
  <c r="D29" i="15"/>
  <c r="J4" i="15"/>
  <c r="L7" i="15"/>
  <c r="P10" i="15"/>
  <c r="L17" i="15"/>
  <c r="R3" i="15"/>
  <c r="D28" i="15"/>
  <c r="B5" i="15"/>
  <c r="M7" i="15"/>
  <c r="R10" i="15"/>
  <c r="D7" i="15"/>
  <c r="A26" i="15"/>
  <c r="J18" i="15"/>
  <c r="P17" i="15"/>
  <c r="K17" i="15"/>
  <c r="P3" i="15"/>
  <c r="K3" i="15"/>
  <c r="B3" i="15"/>
  <c r="J12" i="15"/>
  <c r="B6" i="15"/>
  <c r="J5" i="15"/>
  <c r="A27" i="15"/>
  <c r="J19" i="15"/>
  <c r="Q10" i="15"/>
  <c r="L10" i="15"/>
  <c r="D3" i="15"/>
  <c r="K13" i="15"/>
  <c r="K20" i="15" s="1"/>
  <c r="J6" i="15"/>
  <c r="J11" i="15"/>
  <c r="J13" i="15"/>
  <c r="J7" i="15"/>
  <c r="J14" i="15"/>
  <c r="J21" i="15"/>
  <c r="Q17" i="14"/>
  <c r="L17" i="14"/>
  <c r="D8" i="14"/>
  <c r="Q3" i="14"/>
  <c r="L3" i="14"/>
  <c r="B6" i="14"/>
  <c r="J5" i="14"/>
  <c r="A27" i="14"/>
  <c r="J19" i="14"/>
  <c r="Q10" i="14"/>
  <c r="L10" i="14"/>
  <c r="J12" i="14"/>
  <c r="N6" i="14"/>
  <c r="C28" i="14"/>
  <c r="D3" i="14"/>
  <c r="K6" i="14"/>
  <c r="K13" i="14" s="1"/>
  <c r="K20" i="14" s="1"/>
  <c r="N3" i="14"/>
  <c r="S3" i="14"/>
  <c r="J4" i="14"/>
  <c r="B5" i="14"/>
  <c r="K5" i="14"/>
  <c r="D6" i="14"/>
  <c r="L6" i="14"/>
  <c r="L13" i="14" s="1"/>
  <c r="L20" i="14" s="1"/>
  <c r="M7" i="14"/>
  <c r="K10" i="14"/>
  <c r="P10" i="14"/>
  <c r="J11" i="14"/>
  <c r="N17" i="14"/>
  <c r="S17" i="14"/>
  <c r="D28" i="14"/>
  <c r="K3" i="14"/>
  <c r="P3" i="14"/>
  <c r="J7" i="14"/>
  <c r="J14" i="14"/>
  <c r="K17" i="14"/>
  <c r="P17" i="14"/>
  <c r="J18" i="14"/>
  <c r="J21" i="14"/>
  <c r="A26" i="14"/>
  <c r="A29" i="14"/>
  <c r="D4" i="14"/>
  <c r="M7" i="16" l="1"/>
  <c r="N13" i="16" s="1"/>
  <c r="N20" i="16" s="1"/>
  <c r="B28" i="16"/>
  <c r="B27" i="16"/>
  <c r="B27" i="15"/>
  <c r="B29" i="15"/>
  <c r="B28" i="15"/>
  <c r="B29" i="16"/>
  <c r="L4" i="14"/>
  <c r="L11" i="14" s="1"/>
  <c r="L18" i="14" s="1"/>
  <c r="D27" i="14"/>
  <c r="C27" i="15"/>
  <c r="I27" i="15" s="1"/>
  <c r="K13" i="16"/>
  <c r="K20" i="16" s="1"/>
  <c r="B27" i="14"/>
  <c r="F26" i="15"/>
  <c r="L11" i="15"/>
  <c r="L18" i="15" s="1"/>
  <c r="L4" i="16"/>
  <c r="L11" i="16" s="1"/>
  <c r="L18" i="16" s="1"/>
  <c r="F27" i="15"/>
  <c r="B29" i="17"/>
  <c r="M11" i="17"/>
  <c r="M18" i="17" s="1"/>
  <c r="D28" i="16"/>
  <c r="E28" i="16" s="1"/>
  <c r="G28" i="16" s="1"/>
  <c r="F27" i="17"/>
  <c r="K13" i="17"/>
  <c r="K20" i="17" s="1"/>
  <c r="N11" i="17"/>
  <c r="N18" i="17" s="1"/>
  <c r="B27" i="17"/>
  <c r="C26" i="16"/>
  <c r="I26" i="16" s="1"/>
  <c r="K14" i="14"/>
  <c r="K21" i="14" s="1"/>
  <c r="B28" i="14"/>
  <c r="B26" i="14"/>
  <c r="B28" i="17"/>
  <c r="C29" i="15"/>
  <c r="E29" i="15" s="1"/>
  <c r="G29" i="15" s="1"/>
  <c r="D26" i="17"/>
  <c r="D27" i="16"/>
  <c r="E27" i="16" s="1"/>
  <c r="G27" i="16" s="1"/>
  <c r="C28" i="17"/>
  <c r="I28" i="17" s="1"/>
  <c r="D29" i="14"/>
  <c r="C27" i="14"/>
  <c r="I27" i="14" s="1"/>
  <c r="L14" i="14"/>
  <c r="L21" i="14" s="1"/>
  <c r="B26" i="15"/>
  <c r="B26" i="16"/>
  <c r="C26" i="14"/>
  <c r="I26" i="14" s="1"/>
  <c r="F27" i="14"/>
  <c r="C29" i="16"/>
  <c r="I29" i="16" s="1"/>
  <c r="B26" i="17"/>
  <c r="B29" i="14"/>
  <c r="N12" i="14"/>
  <c r="N19" i="14" s="1"/>
  <c r="F29" i="16"/>
  <c r="D26" i="16"/>
  <c r="M12" i="17"/>
  <c r="M19" i="17" s="1"/>
  <c r="C29" i="14"/>
  <c r="I29" i="14" s="1"/>
  <c r="N11" i="14"/>
  <c r="N18" i="14" s="1"/>
  <c r="K7" i="16"/>
  <c r="K14" i="16" s="1"/>
  <c r="K21" i="16" s="1"/>
  <c r="F26" i="17"/>
  <c r="D26" i="14"/>
  <c r="D27" i="17"/>
  <c r="E27" i="17" s="1"/>
  <c r="G27" i="17" s="1"/>
  <c r="L13" i="17"/>
  <c r="L20" i="17" s="1"/>
  <c r="F28" i="16"/>
  <c r="F29" i="15"/>
  <c r="C29" i="17"/>
  <c r="I29" i="17" s="1"/>
  <c r="C26" i="17"/>
  <c r="D26" i="15"/>
  <c r="E26" i="15" s="1"/>
  <c r="G26" i="15" s="1"/>
  <c r="K7" i="15"/>
  <c r="D28" i="17"/>
  <c r="L7" i="17"/>
  <c r="N12" i="17" s="1"/>
  <c r="N19" i="17" s="1"/>
  <c r="F29" i="17"/>
  <c r="N13" i="15"/>
  <c r="N20" i="15" s="1"/>
  <c r="N13" i="14"/>
  <c r="N20" i="14" s="1"/>
  <c r="K14" i="17"/>
  <c r="K21" i="17" s="1"/>
  <c r="K12" i="17"/>
  <c r="K19" i="17" s="1"/>
  <c r="L11" i="17"/>
  <c r="L18" i="17" s="1"/>
  <c r="I27" i="17"/>
  <c r="M14" i="17"/>
  <c r="M21" i="17" s="1"/>
  <c r="N13" i="17"/>
  <c r="N20" i="17" s="1"/>
  <c r="L14" i="16"/>
  <c r="L21" i="16" s="1"/>
  <c r="N12" i="16"/>
  <c r="N19" i="16" s="1"/>
  <c r="I27" i="16"/>
  <c r="F27" i="16"/>
  <c r="I28" i="15"/>
  <c r="E28" i="15"/>
  <c r="G28" i="15" s="1"/>
  <c r="I26" i="15"/>
  <c r="M14" i="15"/>
  <c r="M21" i="15" s="1"/>
  <c r="L14" i="15"/>
  <c r="L21" i="15" s="1"/>
  <c r="N12" i="15"/>
  <c r="N19" i="15" s="1"/>
  <c r="F28" i="15"/>
  <c r="K12" i="15"/>
  <c r="K19" i="15" s="1"/>
  <c r="M14" i="14"/>
  <c r="M21" i="14" s="1"/>
  <c r="I28" i="14"/>
  <c r="E28" i="14"/>
  <c r="G28" i="14" s="1"/>
  <c r="M12" i="14"/>
  <c r="M19" i="14" s="1"/>
  <c r="F28" i="14"/>
  <c r="M11" i="14"/>
  <c r="M18" i="14" s="1"/>
  <c r="I5" i="13"/>
  <c r="H6" i="13" l="1"/>
  <c r="G6" i="13"/>
  <c r="M14" i="16"/>
  <c r="M21" i="16" s="1"/>
  <c r="F29" i="14"/>
  <c r="E29" i="16"/>
  <c r="G29" i="16" s="1"/>
  <c r="H29" i="16" s="1"/>
  <c r="J29" i="16" s="1"/>
  <c r="K12" i="14"/>
  <c r="K19" i="14" s="1"/>
  <c r="K12" i="16"/>
  <c r="K19" i="16" s="1"/>
  <c r="E28" i="17"/>
  <c r="G28" i="17" s="1"/>
  <c r="F28" i="17"/>
  <c r="E27" i="15"/>
  <c r="G27" i="15" s="1"/>
  <c r="H27" i="15" s="1"/>
  <c r="J27" i="15" s="1"/>
  <c r="H27" i="17"/>
  <c r="J27" i="17" s="1"/>
  <c r="E26" i="14"/>
  <c r="G26" i="14" s="1"/>
  <c r="H26" i="15"/>
  <c r="J26" i="15" s="1"/>
  <c r="I29" i="15"/>
  <c r="H28" i="15"/>
  <c r="J28" i="15" s="1"/>
  <c r="E27" i="14"/>
  <c r="G27" i="14" s="1"/>
  <c r="H27" i="14" s="1"/>
  <c r="J27" i="14" s="1"/>
  <c r="H29" i="15"/>
  <c r="E26" i="16"/>
  <c r="G26" i="16" s="1"/>
  <c r="F26" i="16"/>
  <c r="L14" i="17"/>
  <c r="L21" i="17" s="1"/>
  <c r="N11" i="16"/>
  <c r="N18" i="16" s="1"/>
  <c r="E29" i="14"/>
  <c r="G29" i="14" s="1"/>
  <c r="F26" i="14"/>
  <c r="I26" i="17"/>
  <c r="E26" i="17"/>
  <c r="G26" i="17" s="1"/>
  <c r="H26" i="17" s="1"/>
  <c r="K14" i="15"/>
  <c r="K21" i="15" s="1"/>
  <c r="N11" i="15"/>
  <c r="N18" i="15" s="1"/>
  <c r="E29" i="17"/>
  <c r="G29" i="17" s="1"/>
  <c r="H29" i="17" s="1"/>
  <c r="J29" i="17" s="1"/>
  <c r="H28" i="16"/>
  <c r="J28" i="16" s="1"/>
  <c r="H28" i="14"/>
  <c r="J28" i="14" s="1"/>
  <c r="H27" i="16"/>
  <c r="J27" i="16" s="1"/>
  <c r="F5" i="13"/>
  <c r="E5" i="13"/>
  <c r="M4" i="13" s="1"/>
  <c r="E1" i="13"/>
  <c r="J21" i="13" s="1"/>
  <c r="D1" i="13"/>
  <c r="A28" i="13" s="1"/>
  <c r="C1" i="13"/>
  <c r="B6" i="13" s="1"/>
  <c r="B1" i="13"/>
  <c r="K3" i="13" s="1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31" i="13"/>
  <c r="R3" i="13" l="1"/>
  <c r="R17" i="13"/>
  <c r="D5" i="13"/>
  <c r="H5" i="13"/>
  <c r="G5" i="13"/>
  <c r="R10" i="13"/>
  <c r="K17" i="13"/>
  <c r="P3" i="13"/>
  <c r="J18" i="13"/>
  <c r="J19" i="13"/>
  <c r="J5" i="13"/>
  <c r="D3" i="13"/>
  <c r="H29" i="14"/>
  <c r="J29" i="14" s="1"/>
  <c r="Q21" i="14" s="1"/>
  <c r="H28" i="17"/>
  <c r="J28" i="17" s="1"/>
  <c r="R21" i="17" s="1"/>
  <c r="H26" i="14"/>
  <c r="J26" i="14" s="1"/>
  <c r="P19" i="14" s="1"/>
  <c r="J29" i="15"/>
  <c r="S19" i="15" s="1"/>
  <c r="H26" i="16"/>
  <c r="J26" i="16" s="1"/>
  <c r="P20" i="16" s="1"/>
  <c r="J26" i="17"/>
  <c r="P21" i="17" s="1"/>
  <c r="Q21" i="17"/>
  <c r="S19" i="17"/>
  <c r="R18" i="15"/>
  <c r="P20" i="15"/>
  <c r="Q18" i="15"/>
  <c r="Q20" i="15"/>
  <c r="R19" i="15"/>
  <c r="P19" i="15"/>
  <c r="Q20" i="16"/>
  <c r="R21" i="16"/>
  <c r="Q21" i="16"/>
  <c r="S20" i="16"/>
  <c r="S19" i="16"/>
  <c r="R19" i="16"/>
  <c r="Q20" i="14"/>
  <c r="R19" i="14"/>
  <c r="M5" i="13"/>
  <c r="K7" i="13"/>
  <c r="K6" i="13"/>
  <c r="K13" i="13" s="1"/>
  <c r="K20" i="13" s="1"/>
  <c r="N5" i="13"/>
  <c r="L7" i="13"/>
  <c r="D27" i="13"/>
  <c r="C29" i="13"/>
  <c r="I29" i="13" s="1"/>
  <c r="L4" i="13"/>
  <c r="B4" i="13"/>
  <c r="B8" i="13"/>
  <c r="J20" i="13"/>
  <c r="M3" i="13"/>
  <c r="M17" i="13"/>
  <c r="B3" i="13"/>
  <c r="D7" i="13"/>
  <c r="P17" i="13"/>
  <c r="A26" i="13"/>
  <c r="S10" i="13"/>
  <c r="D26" i="13"/>
  <c r="K5" i="13"/>
  <c r="C27" i="13"/>
  <c r="C28" i="13"/>
  <c r="D29" i="13"/>
  <c r="N6" i="13"/>
  <c r="J7" i="13"/>
  <c r="Q10" i="13"/>
  <c r="N4" i="13"/>
  <c r="L6" i="13"/>
  <c r="L10" i="13"/>
  <c r="J14" i="13"/>
  <c r="B7" i="13"/>
  <c r="D4" i="13"/>
  <c r="A29" i="13"/>
  <c r="S17" i="13"/>
  <c r="N17" i="13"/>
  <c r="D6" i="13"/>
  <c r="S3" i="13"/>
  <c r="N3" i="13"/>
  <c r="Q17" i="13"/>
  <c r="L17" i="13"/>
  <c r="J12" i="13"/>
  <c r="D8" i="13"/>
  <c r="Q3" i="13"/>
  <c r="L3" i="13"/>
  <c r="A27" i="13"/>
  <c r="B29" i="13"/>
  <c r="B28" i="13"/>
  <c r="N10" i="13"/>
  <c r="C26" i="13"/>
  <c r="J4" i="13"/>
  <c r="B5" i="13"/>
  <c r="M7" i="13"/>
  <c r="M14" i="13" s="1"/>
  <c r="M21" i="13" s="1"/>
  <c r="K10" i="13"/>
  <c r="P10" i="13"/>
  <c r="J11" i="13"/>
  <c r="J13" i="13"/>
  <c r="D28" i="13"/>
  <c r="J6" i="13"/>
  <c r="M10" i="13"/>
  <c r="B26" i="13"/>
  <c r="B27" i="13"/>
  <c r="H30" i="2"/>
  <c r="H31" i="2" s="1"/>
  <c r="B23" i="21" l="1"/>
  <c r="A23" i="21"/>
  <c r="A25" i="21" s="1"/>
  <c r="R21" i="14"/>
  <c r="S19" i="14"/>
  <c r="T19" i="14" s="1"/>
  <c r="K27" i="14" s="1"/>
  <c r="L27" i="14" s="1"/>
  <c r="S20" i="14"/>
  <c r="P21" i="15"/>
  <c r="Q20" i="17"/>
  <c r="S20" i="17"/>
  <c r="R21" i="15"/>
  <c r="P20" i="14"/>
  <c r="P21" i="14"/>
  <c r="S18" i="14"/>
  <c r="R18" i="14"/>
  <c r="Q18" i="14"/>
  <c r="R19" i="17"/>
  <c r="Q21" i="15"/>
  <c r="S18" i="15"/>
  <c r="T18" i="15" s="1"/>
  <c r="K26" i="15" s="1"/>
  <c r="L26" i="15" s="1"/>
  <c r="R18" i="16"/>
  <c r="S20" i="15"/>
  <c r="T20" i="15" s="1"/>
  <c r="K28" i="15" s="1"/>
  <c r="L28" i="15" s="1"/>
  <c r="R18" i="17"/>
  <c r="P19" i="16"/>
  <c r="T19" i="16" s="1"/>
  <c r="K27" i="16" s="1"/>
  <c r="L27" i="16" s="1"/>
  <c r="P21" i="16"/>
  <c r="T21" i="16" s="1"/>
  <c r="K29" i="16" s="1"/>
  <c r="L29" i="16" s="1"/>
  <c r="S18" i="16"/>
  <c r="Q18" i="16"/>
  <c r="M11" i="13"/>
  <c r="M18" i="13" s="1"/>
  <c r="P20" i="17"/>
  <c r="Q18" i="17"/>
  <c r="P19" i="17"/>
  <c r="S18" i="17"/>
  <c r="L14" i="13"/>
  <c r="L21" i="13" s="1"/>
  <c r="T21" i="17"/>
  <c r="K29" i="17" s="1"/>
  <c r="L29" i="17" s="1"/>
  <c r="N12" i="13"/>
  <c r="N19" i="13" s="1"/>
  <c r="F28" i="13"/>
  <c r="T20" i="16"/>
  <c r="K28" i="16" s="1"/>
  <c r="L28" i="16" s="1"/>
  <c r="T19" i="15"/>
  <c r="K27" i="15" s="1"/>
  <c r="L27" i="15" s="1"/>
  <c r="L13" i="13"/>
  <c r="L20" i="13" s="1"/>
  <c r="F27" i="13"/>
  <c r="K12" i="13"/>
  <c r="K19" i="13" s="1"/>
  <c r="F29" i="13"/>
  <c r="M12" i="13"/>
  <c r="M19" i="13" s="1"/>
  <c r="E29" i="13"/>
  <c r="G29" i="13" s="1"/>
  <c r="I26" i="13"/>
  <c r="E26" i="13"/>
  <c r="G26" i="13" s="1"/>
  <c r="K14" i="13"/>
  <c r="K21" i="13" s="1"/>
  <c r="N11" i="13"/>
  <c r="N18" i="13" s="1"/>
  <c r="N13" i="13"/>
  <c r="N20" i="13" s="1"/>
  <c r="I27" i="13"/>
  <c r="E27" i="13"/>
  <c r="G27" i="13" s="1"/>
  <c r="I28" i="13"/>
  <c r="E28" i="13"/>
  <c r="G28" i="13" s="1"/>
  <c r="F26" i="13"/>
  <c r="L11" i="13"/>
  <c r="L18" i="13" s="1"/>
  <c r="G50" i="2"/>
  <c r="G51" i="2" s="1"/>
  <c r="G48" i="2"/>
  <c r="G49" i="2" s="1"/>
  <c r="G46" i="2"/>
  <c r="G47" i="2" s="1"/>
  <c r="G44" i="2"/>
  <c r="G45" i="2" s="1"/>
  <c r="G42" i="2"/>
  <c r="G43" i="2" s="1"/>
  <c r="G40" i="2"/>
  <c r="G41" i="2" s="1"/>
  <c r="G38" i="2"/>
  <c r="G39" i="2" s="1"/>
  <c r="G36" i="2"/>
  <c r="G37" i="2" s="1"/>
  <c r="G34" i="2"/>
  <c r="G35" i="2" s="1"/>
  <c r="G32" i="2"/>
  <c r="G33" i="2" s="1"/>
  <c r="H33" i="2"/>
  <c r="H34" i="2" s="1"/>
  <c r="H35" i="2" s="1"/>
  <c r="H36" i="2" s="1"/>
  <c r="H37" i="2" s="1"/>
  <c r="H38" i="2" s="1"/>
  <c r="H39" i="2" s="1"/>
  <c r="H40" i="2" s="1"/>
  <c r="H41" i="2" s="1"/>
  <c r="T21" i="14" l="1"/>
  <c r="K29" i="14" s="1"/>
  <c r="L29" i="14" s="1"/>
  <c r="Q14" i="14" s="1"/>
  <c r="T20" i="14"/>
  <c r="K28" i="14" s="1"/>
  <c r="L28" i="14" s="1"/>
  <c r="R12" i="14" s="1"/>
  <c r="T20" i="17"/>
  <c r="K28" i="17" s="1"/>
  <c r="L28" i="17" s="1"/>
  <c r="S13" i="17" s="1"/>
  <c r="T21" i="15"/>
  <c r="K29" i="15" s="1"/>
  <c r="L29" i="15" s="1"/>
  <c r="R14" i="15" s="1"/>
  <c r="T19" i="17"/>
  <c r="K27" i="17" s="1"/>
  <c r="L27" i="17" s="1"/>
  <c r="Q14" i="17" s="1"/>
  <c r="H28" i="13"/>
  <c r="J28" i="13" s="1"/>
  <c r="T18" i="14"/>
  <c r="K26" i="14" s="1"/>
  <c r="L26" i="14" s="1"/>
  <c r="T18" i="16"/>
  <c r="K26" i="16" s="1"/>
  <c r="L26" i="16" s="1"/>
  <c r="P13" i="16" s="1"/>
  <c r="R12" i="15"/>
  <c r="T18" i="17"/>
  <c r="K26" i="17" s="1"/>
  <c r="L26" i="17" s="1"/>
  <c r="R14" i="16"/>
  <c r="P13" i="15"/>
  <c r="R11" i="15"/>
  <c r="P12" i="15"/>
  <c r="S13" i="16"/>
  <c r="Q13" i="15"/>
  <c r="Q11" i="15"/>
  <c r="Q14" i="16"/>
  <c r="S12" i="16"/>
  <c r="R12" i="16"/>
  <c r="Q13" i="16"/>
  <c r="H27" i="13"/>
  <c r="J27" i="13" s="1"/>
  <c r="H29" i="13"/>
  <c r="J29" i="13" s="1"/>
  <c r="H26" i="13"/>
  <c r="J26" i="13" s="1"/>
  <c r="H42" i="2"/>
  <c r="H43" i="2" s="1"/>
  <c r="H44" i="2" s="1"/>
  <c r="H45" i="2" s="1"/>
  <c r="H46" i="2" s="1"/>
  <c r="H47" i="2" s="1"/>
  <c r="H48" i="2" s="1"/>
  <c r="H49" i="2" s="1"/>
  <c r="H50" i="2" s="1"/>
  <c r="H51" i="2" s="1"/>
  <c r="S12" i="14" l="1"/>
  <c r="P14" i="14"/>
  <c r="R14" i="17"/>
  <c r="S13" i="14"/>
  <c r="R14" i="14"/>
  <c r="Q13" i="14"/>
  <c r="R11" i="17"/>
  <c r="Q14" i="15"/>
  <c r="S12" i="15"/>
  <c r="T12" i="15" s="1"/>
  <c r="M27" i="15" s="1"/>
  <c r="N27" i="15" s="1"/>
  <c r="P14" i="15"/>
  <c r="P13" i="14"/>
  <c r="S11" i="15"/>
  <c r="T11" i="15" s="1"/>
  <c r="M26" i="15" s="1"/>
  <c r="N26" i="15" s="1"/>
  <c r="S13" i="15"/>
  <c r="T13" i="15" s="1"/>
  <c r="M28" i="15" s="1"/>
  <c r="N28" i="15" s="1"/>
  <c r="R11" i="14"/>
  <c r="P12" i="14"/>
  <c r="Q11" i="14"/>
  <c r="S12" i="17"/>
  <c r="S11" i="14"/>
  <c r="R12" i="17"/>
  <c r="Q13" i="17"/>
  <c r="P14" i="16"/>
  <c r="T14" i="16" s="1"/>
  <c r="M29" i="16" s="1"/>
  <c r="N29" i="16" s="1"/>
  <c r="P12" i="16"/>
  <c r="T12" i="16" s="1"/>
  <c r="M27" i="16" s="1"/>
  <c r="N27" i="16" s="1"/>
  <c r="S11" i="16"/>
  <c r="R11" i="16"/>
  <c r="Q11" i="16"/>
  <c r="P12" i="17"/>
  <c r="P14" i="17"/>
  <c r="P13" i="17"/>
  <c r="S11" i="17"/>
  <c r="Q11" i="17"/>
  <c r="T13" i="16"/>
  <c r="M28" i="16" s="1"/>
  <c r="N28" i="16" s="1"/>
  <c r="R21" i="13"/>
  <c r="S20" i="13"/>
  <c r="R19" i="13"/>
  <c r="Q20" i="13"/>
  <c r="S19" i="13"/>
  <c r="Q21" i="13"/>
  <c r="P19" i="13"/>
  <c r="P20" i="13"/>
  <c r="P21" i="13"/>
  <c r="R18" i="13"/>
  <c r="S18" i="13"/>
  <c r="Q18" i="13"/>
  <c r="T14" i="17" l="1"/>
  <c r="M29" i="17" s="1"/>
  <c r="N29" i="17" s="1"/>
  <c r="T12" i="14"/>
  <c r="M27" i="14" s="1"/>
  <c r="N27" i="14" s="1"/>
  <c r="T14" i="14"/>
  <c r="M29" i="14" s="1"/>
  <c r="N29" i="14" s="1"/>
  <c r="T13" i="14"/>
  <c r="M28" i="14" s="1"/>
  <c r="N28" i="14" s="1"/>
  <c r="T14" i="15"/>
  <c r="M29" i="15" s="1"/>
  <c r="N29" i="15" s="1"/>
  <c r="R7" i="15" s="1"/>
  <c r="T12" i="17"/>
  <c r="M27" i="17" s="1"/>
  <c r="N27" i="17" s="1"/>
  <c r="T11" i="14"/>
  <c r="M26" i="14" s="1"/>
  <c r="N26" i="14" s="1"/>
  <c r="T13" i="17"/>
  <c r="M28" i="17" s="1"/>
  <c r="N28" i="17" s="1"/>
  <c r="T11" i="16"/>
  <c r="M26" i="16" s="1"/>
  <c r="N26" i="16" s="1"/>
  <c r="P6" i="16" s="1"/>
  <c r="T11" i="17"/>
  <c r="M26" i="17" s="1"/>
  <c r="N26" i="17" s="1"/>
  <c r="R7" i="16"/>
  <c r="P6" i="15"/>
  <c r="R5" i="15"/>
  <c r="R4" i="15"/>
  <c r="Q4" i="15"/>
  <c r="Q6" i="15"/>
  <c r="P5" i="15"/>
  <c r="R5" i="16"/>
  <c r="S6" i="16"/>
  <c r="Q7" i="16"/>
  <c r="S5" i="16"/>
  <c r="Q6" i="16"/>
  <c r="T20" i="13"/>
  <c r="K28" i="13" s="1"/>
  <c r="L28" i="13" s="1"/>
  <c r="T21" i="13"/>
  <c r="K29" i="13" s="1"/>
  <c r="L29" i="13" s="1"/>
  <c r="T19" i="13"/>
  <c r="K27" i="13" s="1"/>
  <c r="L27" i="13" s="1"/>
  <c r="T18" i="13"/>
  <c r="K26" i="13" s="1"/>
  <c r="L26" i="13" s="1"/>
  <c r="P7" i="17" l="1"/>
  <c r="S5" i="17"/>
  <c r="R7" i="17"/>
  <c r="S5" i="14"/>
  <c r="Q7" i="14"/>
  <c r="S6" i="14"/>
  <c r="S5" i="15"/>
  <c r="T5" i="15" s="1"/>
  <c r="O27" i="15" s="1"/>
  <c r="P27" i="15" s="1"/>
  <c r="U27" i="15" s="1"/>
  <c r="P7" i="15"/>
  <c r="S4" i="15"/>
  <c r="T4" i="15" s="1"/>
  <c r="O26" i="15" s="1"/>
  <c r="P26" i="15" s="1"/>
  <c r="U26" i="15" s="1"/>
  <c r="Q7" i="15"/>
  <c r="S6" i="15"/>
  <c r="R7" i="14"/>
  <c r="R5" i="14"/>
  <c r="Q6" i="14"/>
  <c r="P6" i="14"/>
  <c r="Q7" i="17"/>
  <c r="Q6" i="17"/>
  <c r="R5" i="17"/>
  <c r="S6" i="17"/>
  <c r="Q4" i="14"/>
  <c r="P5" i="14"/>
  <c r="P7" i="14"/>
  <c r="R4" i="14"/>
  <c r="S4" i="14"/>
  <c r="P5" i="16"/>
  <c r="T5" i="16" s="1"/>
  <c r="O27" i="16" s="1"/>
  <c r="P27" i="16" s="1"/>
  <c r="U27" i="16" s="1"/>
  <c r="P7" i="16"/>
  <c r="T7" i="16" s="1"/>
  <c r="O29" i="16" s="1"/>
  <c r="P29" i="16" s="1"/>
  <c r="U29" i="16" s="1"/>
  <c r="S4" i="16"/>
  <c r="R4" i="16"/>
  <c r="Q4" i="16"/>
  <c r="Q4" i="17"/>
  <c r="P5" i="17"/>
  <c r="P6" i="17"/>
  <c r="R4" i="17"/>
  <c r="S4" i="17"/>
  <c r="T6" i="15"/>
  <c r="O28" i="15" s="1"/>
  <c r="P28" i="15" s="1"/>
  <c r="U28" i="15" s="1"/>
  <c r="T6" i="16"/>
  <c r="O28" i="16" s="1"/>
  <c r="P28" i="16" s="1"/>
  <c r="U28" i="16" s="1"/>
  <c r="R14" i="13"/>
  <c r="S13" i="13"/>
  <c r="P14" i="13"/>
  <c r="Q13" i="13"/>
  <c r="R12" i="13"/>
  <c r="S12" i="13"/>
  <c r="Q14" i="13"/>
  <c r="S11" i="13"/>
  <c r="Q11" i="13"/>
  <c r="R11" i="13"/>
  <c r="P12" i="13"/>
  <c r="P13" i="13"/>
  <c r="Q27" i="9"/>
  <c r="Q33" i="9" s="1"/>
  <c r="Q39" i="9" s="1"/>
  <c r="Q45" i="9" s="1"/>
  <c r="Q51" i="9" s="1"/>
  <c r="Q57" i="9" s="1"/>
  <c r="U27" i="9"/>
  <c r="U33" i="9" s="1"/>
  <c r="U39" i="9" s="1"/>
  <c r="U45" i="9" s="1"/>
  <c r="U51" i="9" s="1"/>
  <c r="U57" i="9" s="1"/>
  <c r="I3" i="7"/>
  <c r="F3" i="7"/>
  <c r="E3" i="7"/>
  <c r="I4" i="7"/>
  <c r="T7" i="17" l="1"/>
  <c r="O29" i="17" s="1"/>
  <c r="P29" i="17" s="1"/>
  <c r="U29" i="17" s="1"/>
  <c r="T7" i="15"/>
  <c r="O29" i="15" s="1"/>
  <c r="P29" i="15" s="1"/>
  <c r="U29" i="15" s="1"/>
  <c r="V29" i="15" s="1"/>
  <c r="T7" i="14"/>
  <c r="O29" i="14" s="1"/>
  <c r="P29" i="14" s="1"/>
  <c r="U29" i="14" s="1"/>
  <c r="T6" i="14"/>
  <c r="O28" i="14" s="1"/>
  <c r="P28" i="14" s="1"/>
  <c r="U28" i="14" s="1"/>
  <c r="H3" i="7"/>
  <c r="G3" i="7"/>
  <c r="T5" i="14"/>
  <c r="O27" i="14" s="1"/>
  <c r="P27" i="14" s="1"/>
  <c r="U27" i="14" s="1"/>
  <c r="T5" i="17"/>
  <c r="O27" i="17" s="1"/>
  <c r="P27" i="17" s="1"/>
  <c r="U27" i="17" s="1"/>
  <c r="T6" i="17"/>
  <c r="O28" i="17" s="1"/>
  <c r="P28" i="17" s="1"/>
  <c r="U28" i="17" s="1"/>
  <c r="T4" i="14"/>
  <c r="O26" i="14" s="1"/>
  <c r="P26" i="14" s="1"/>
  <c r="U26" i="14" s="1"/>
  <c r="T4" i="16"/>
  <c r="O26" i="16" s="1"/>
  <c r="P26" i="16" s="1"/>
  <c r="U26" i="16" s="1"/>
  <c r="V29" i="16" s="1"/>
  <c r="T4" i="17"/>
  <c r="O26" i="17" s="1"/>
  <c r="P26" i="17" s="1"/>
  <c r="U26" i="17" s="1"/>
  <c r="T14" i="13"/>
  <c r="M29" i="13" s="1"/>
  <c r="N29" i="13" s="1"/>
  <c r="T13" i="13"/>
  <c r="M28" i="13" s="1"/>
  <c r="N28" i="13" s="1"/>
  <c r="T12" i="13"/>
  <c r="M27" i="13" s="1"/>
  <c r="N27" i="13" s="1"/>
  <c r="T11" i="13"/>
  <c r="M26" i="13" s="1"/>
  <c r="N26" i="13" s="1"/>
  <c r="B29" i="7"/>
  <c r="B26" i="7"/>
  <c r="V28" i="15" l="1"/>
  <c r="V27" i="15"/>
  <c r="V26" i="15"/>
  <c r="V27" i="14"/>
  <c r="V29" i="14"/>
  <c r="V29" i="17"/>
  <c r="V28" i="14"/>
  <c r="V26" i="14"/>
  <c r="V27" i="17"/>
  <c r="V28" i="16"/>
  <c r="V26" i="16"/>
  <c r="V27" i="16"/>
  <c r="V26" i="17"/>
  <c r="V28" i="17"/>
  <c r="Q6" i="13"/>
  <c r="P7" i="13"/>
  <c r="Q7" i="13"/>
  <c r="R7" i="13"/>
  <c r="S6" i="13"/>
  <c r="R5" i="13"/>
  <c r="S5" i="13"/>
  <c r="P5" i="13"/>
  <c r="R4" i="13"/>
  <c r="Q4" i="13"/>
  <c r="P6" i="13"/>
  <c r="S4" i="13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8" i="9"/>
  <c r="K17" i="9"/>
  <c r="K16" i="9"/>
  <c r="K15" i="9"/>
  <c r="K14" i="9"/>
  <c r="K13" i="9"/>
  <c r="W26" i="15" l="1"/>
  <c r="W27" i="15"/>
  <c r="W28" i="15" s="1"/>
  <c r="Q26" i="15" s="1"/>
  <c r="R26" i="15" s="1"/>
  <c r="T26" i="15" s="1"/>
  <c r="W26" i="14"/>
  <c r="W27" i="14"/>
  <c r="W28" i="14" s="1"/>
  <c r="W27" i="17"/>
  <c r="W27" i="16"/>
  <c r="W26" i="16"/>
  <c r="W26" i="17"/>
  <c r="T7" i="13"/>
  <c r="O29" i="13" s="1"/>
  <c r="P29" i="13" s="1"/>
  <c r="U29" i="13" s="1"/>
  <c r="T6" i="13"/>
  <c r="O28" i="13" s="1"/>
  <c r="P28" i="13" s="1"/>
  <c r="U28" i="13" s="1"/>
  <c r="T5" i="13"/>
  <c r="O27" i="13" s="1"/>
  <c r="P27" i="13" s="1"/>
  <c r="U27" i="13" s="1"/>
  <c r="T4" i="13"/>
  <c r="O26" i="13" s="1"/>
  <c r="P26" i="13" s="1"/>
  <c r="U26" i="13" s="1"/>
  <c r="F32" i="2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X27" i="14" l="1"/>
  <c r="I16" i="14"/>
  <c r="W28" i="17"/>
  <c r="X29" i="17" s="1"/>
  <c r="W28" i="16"/>
  <c r="Q29" i="16" s="1"/>
  <c r="R29" i="16" s="1"/>
  <c r="T29" i="16" s="1"/>
  <c r="Q26" i="14"/>
  <c r="R26" i="14" s="1"/>
  <c r="T26" i="14" s="1"/>
  <c r="X29" i="14"/>
  <c r="Q27" i="14"/>
  <c r="R27" i="14" s="1"/>
  <c r="T27" i="14" s="1"/>
  <c r="X26" i="14"/>
  <c r="Q29" i="14"/>
  <c r="R29" i="14" s="1"/>
  <c r="T29" i="14" s="1"/>
  <c r="X29" i="15"/>
  <c r="Q27" i="15"/>
  <c r="R27" i="15" s="1"/>
  <c r="T27" i="15" s="1"/>
  <c r="Q29" i="15"/>
  <c r="R29" i="15" s="1"/>
  <c r="T29" i="15" s="1"/>
  <c r="Q28" i="15"/>
  <c r="R28" i="15" s="1"/>
  <c r="T28" i="15" s="1"/>
  <c r="I16" i="15"/>
  <c r="X27" i="15"/>
  <c r="X28" i="15"/>
  <c r="X26" i="15"/>
  <c r="V27" i="13"/>
  <c r="V26" i="13"/>
  <c r="V29" i="13"/>
  <c r="V28" i="13"/>
  <c r="F74" i="9"/>
  <c r="F71" i="9"/>
  <c r="F68" i="9"/>
  <c r="F67" i="9"/>
  <c r="F64" i="9"/>
  <c r="F63" i="9"/>
  <c r="F62" i="9"/>
  <c r="F61" i="9"/>
  <c r="F58" i="9"/>
  <c r="F57" i="9"/>
  <c r="F56" i="9"/>
  <c r="F55" i="9"/>
  <c r="F54" i="9"/>
  <c r="F53" i="9"/>
  <c r="F52" i="9"/>
  <c r="F51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5" i="9"/>
  <c r="F14" i="9"/>
  <c r="X27" i="17" l="1"/>
  <c r="Q26" i="17"/>
  <c r="R26" i="17" s="1"/>
  <c r="T26" i="17" s="1"/>
  <c r="X28" i="16"/>
  <c r="I16" i="17"/>
  <c r="Q27" i="17"/>
  <c r="R27" i="17" s="1"/>
  <c r="T27" i="17" s="1"/>
  <c r="Q28" i="17"/>
  <c r="R28" i="17" s="1"/>
  <c r="T28" i="17" s="1"/>
  <c r="X28" i="17"/>
  <c r="Q29" i="17"/>
  <c r="R29" i="17" s="1"/>
  <c r="T29" i="17" s="1"/>
  <c r="X26" i="17"/>
  <c r="Q26" i="16"/>
  <c r="R26" i="16" s="1"/>
  <c r="T26" i="16" s="1"/>
  <c r="Q27" i="16"/>
  <c r="R27" i="16" s="1"/>
  <c r="T27" i="16" s="1"/>
  <c r="X27" i="16"/>
  <c r="X26" i="16"/>
  <c r="I16" i="16"/>
  <c r="Q28" i="16"/>
  <c r="R28" i="16" s="1"/>
  <c r="T28" i="16" s="1"/>
  <c r="X29" i="16"/>
  <c r="S26" i="15"/>
  <c r="S27" i="15"/>
  <c r="S28" i="15"/>
  <c r="S29" i="15"/>
  <c r="C52" i="2"/>
  <c r="C44" i="2"/>
  <c r="W27" i="13"/>
  <c r="W26" i="13"/>
  <c r="D37" i="2"/>
  <c r="D36" i="2"/>
  <c r="D35" i="2"/>
  <c r="D3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54" i="2"/>
  <c r="S29" i="17" l="1"/>
  <c r="S28" i="17"/>
  <c r="S29" i="16"/>
  <c r="S27" i="16"/>
  <c r="S26" i="17"/>
  <c r="S26" i="16"/>
  <c r="S27" i="17"/>
  <c r="S28" i="16"/>
  <c r="C53" i="2"/>
  <c r="C45" i="2"/>
  <c r="F15" i="15"/>
  <c r="S43" i="9" s="1"/>
  <c r="F14" i="15"/>
  <c r="H12" i="15"/>
  <c r="U40" i="9" s="1"/>
  <c r="D12" i="15"/>
  <c r="Q40" i="9" s="1"/>
  <c r="C12" i="15"/>
  <c r="C49" i="2" s="1"/>
  <c r="H15" i="15"/>
  <c r="U43" i="9" s="1"/>
  <c r="E15" i="15"/>
  <c r="R43" i="9" s="1"/>
  <c r="D15" i="15"/>
  <c r="Q43" i="9" s="1"/>
  <c r="C15" i="15"/>
  <c r="O43" i="9" s="1"/>
  <c r="G15" i="15"/>
  <c r="T43" i="9" s="1"/>
  <c r="D13" i="15"/>
  <c r="Q41" i="9" s="1"/>
  <c r="G13" i="15"/>
  <c r="T41" i="9" s="1"/>
  <c r="C13" i="15"/>
  <c r="C41" i="2" s="1"/>
  <c r="K44" i="1" s="1"/>
  <c r="G12" i="15"/>
  <c r="T40" i="9" s="1"/>
  <c r="G14" i="15"/>
  <c r="E12" i="15"/>
  <c r="R40" i="9" s="1"/>
  <c r="H13" i="15"/>
  <c r="U41" i="9" s="1"/>
  <c r="D14" i="15"/>
  <c r="F13" i="15"/>
  <c r="S41" i="9" s="1"/>
  <c r="E14" i="15"/>
  <c r="C14" i="15"/>
  <c r="O42" i="9" s="1"/>
  <c r="E13" i="15"/>
  <c r="R41" i="9" s="1"/>
  <c r="H14" i="15"/>
  <c r="F12" i="15"/>
  <c r="S40" i="9" s="1"/>
  <c r="W28" i="13"/>
  <c r="F4" i="7"/>
  <c r="E4" i="7"/>
  <c r="E1" i="7"/>
  <c r="D1" i="7"/>
  <c r="C1" i="7"/>
  <c r="B1" i="7"/>
  <c r="R21" i="9"/>
  <c r="R27" i="9" s="1"/>
  <c r="R33" i="9" s="1"/>
  <c r="R39" i="9" s="1"/>
  <c r="R45" i="9" s="1"/>
  <c r="R51" i="9" s="1"/>
  <c r="R57" i="9" s="1"/>
  <c r="S21" i="9"/>
  <c r="S27" i="9" s="1"/>
  <c r="S33" i="9" s="1"/>
  <c r="S39" i="9" s="1"/>
  <c r="S45" i="9" s="1"/>
  <c r="S51" i="9" s="1"/>
  <c r="S57" i="9" s="1"/>
  <c r="T21" i="9"/>
  <c r="T27" i="9" s="1"/>
  <c r="T33" i="9" s="1"/>
  <c r="T39" i="9" s="1"/>
  <c r="T45" i="9" s="1"/>
  <c r="T51" i="9" s="1"/>
  <c r="T57" i="9" s="1"/>
  <c r="B71" i="9"/>
  <c r="B12" i="9"/>
  <c r="F12" i="9"/>
  <c r="S42" i="9" l="1"/>
  <c r="F5" i="20"/>
  <c r="X29" i="13"/>
  <c r="I16" i="7"/>
  <c r="Q42" i="9"/>
  <c r="D5" i="20"/>
  <c r="C5" i="20"/>
  <c r="R42" i="9"/>
  <c r="E5" i="20"/>
  <c r="U42" i="9"/>
  <c r="H5" i="20"/>
  <c r="T42" i="9"/>
  <c r="G5" i="20"/>
  <c r="D12" i="16"/>
  <c r="Q46" i="9" s="1"/>
  <c r="C12" i="17"/>
  <c r="C51" i="2" s="1"/>
  <c r="K51" i="19"/>
  <c r="H4" i="7"/>
  <c r="G4" i="7"/>
  <c r="H15" i="17"/>
  <c r="U55" i="9" s="1"/>
  <c r="D15" i="17"/>
  <c r="Q55" i="9" s="1"/>
  <c r="F15" i="17"/>
  <c r="S55" i="9" s="1"/>
  <c r="E15" i="17"/>
  <c r="R55" i="9" s="1"/>
  <c r="C15" i="17"/>
  <c r="O55" i="9" s="1"/>
  <c r="C14" i="17"/>
  <c r="G15" i="17"/>
  <c r="T55" i="9" s="1"/>
  <c r="E14" i="17"/>
  <c r="C13" i="16"/>
  <c r="C42" i="2" s="1"/>
  <c r="K43" i="1" s="1"/>
  <c r="F12" i="17"/>
  <c r="S52" i="9" s="1"/>
  <c r="F15" i="16"/>
  <c r="S49" i="9" s="1"/>
  <c r="D15" i="16"/>
  <c r="Q49" i="9" s="1"/>
  <c r="F13" i="16"/>
  <c r="S47" i="9" s="1"/>
  <c r="C13" i="17"/>
  <c r="G13" i="17"/>
  <c r="T53" i="9" s="1"/>
  <c r="D14" i="16"/>
  <c r="E14" i="16"/>
  <c r="G12" i="16"/>
  <c r="T46" i="9" s="1"/>
  <c r="C14" i="16"/>
  <c r="G14" i="16"/>
  <c r="F14" i="16"/>
  <c r="H14" i="16"/>
  <c r="F12" i="16"/>
  <c r="S46" i="9" s="1"/>
  <c r="H13" i="16"/>
  <c r="U47" i="9" s="1"/>
  <c r="E15" i="16"/>
  <c r="R49" i="9" s="1"/>
  <c r="H15" i="16"/>
  <c r="U49" i="9" s="1"/>
  <c r="E12" i="16"/>
  <c r="R46" i="9" s="1"/>
  <c r="H12" i="16"/>
  <c r="U46" i="9" s="1"/>
  <c r="G15" i="16"/>
  <c r="T49" i="9" s="1"/>
  <c r="G13" i="16"/>
  <c r="T47" i="9" s="1"/>
  <c r="C12" i="16"/>
  <c r="E13" i="16"/>
  <c r="R47" i="9" s="1"/>
  <c r="D13" i="16"/>
  <c r="Q47" i="9" s="1"/>
  <c r="C15" i="16"/>
  <c r="O49" i="9" s="1"/>
  <c r="E13" i="17"/>
  <c r="R53" i="9" s="1"/>
  <c r="G14" i="17"/>
  <c r="F13" i="17"/>
  <c r="S53" i="9" s="1"/>
  <c r="H12" i="17"/>
  <c r="U52" i="9" s="1"/>
  <c r="D14" i="17"/>
  <c r="F14" i="17"/>
  <c r="E12" i="17"/>
  <c r="R52" i="9" s="1"/>
  <c r="G12" i="17"/>
  <c r="T52" i="9" s="1"/>
  <c r="H13" i="17"/>
  <c r="U53" i="9" s="1"/>
  <c r="H14" i="17"/>
  <c r="D12" i="17"/>
  <c r="Q52" i="9" s="1"/>
  <c r="D13" i="17"/>
  <c r="Q53" i="9" s="1"/>
  <c r="O40" i="9"/>
  <c r="O41" i="9"/>
  <c r="Q29" i="13"/>
  <c r="R29" i="13" s="1"/>
  <c r="T29" i="13" s="1"/>
  <c r="X28" i="13"/>
  <c r="Q27" i="13"/>
  <c r="R27" i="13" s="1"/>
  <c r="T27" i="13" s="1"/>
  <c r="I16" i="13"/>
  <c r="Q26" i="13"/>
  <c r="R26" i="13" s="1"/>
  <c r="T26" i="13" s="1"/>
  <c r="Q28" i="13"/>
  <c r="R28" i="13" s="1"/>
  <c r="T28" i="13" s="1"/>
  <c r="X26" i="13"/>
  <c r="X27" i="13"/>
  <c r="C26" i="7"/>
  <c r="K7" i="7"/>
  <c r="D26" i="7"/>
  <c r="N4" i="7"/>
  <c r="D29" i="7"/>
  <c r="C29" i="7"/>
  <c r="O47" i="9" l="1"/>
  <c r="S54" i="9"/>
  <c r="F7" i="20"/>
  <c r="T54" i="9"/>
  <c r="G7" i="20"/>
  <c r="S48" i="9"/>
  <c r="F6" i="20"/>
  <c r="R48" i="9"/>
  <c r="E6" i="20"/>
  <c r="U54" i="9"/>
  <c r="H7" i="20"/>
  <c r="T48" i="9"/>
  <c r="G6" i="20"/>
  <c r="Q48" i="9"/>
  <c r="D6" i="20"/>
  <c r="R54" i="9"/>
  <c r="E7" i="20"/>
  <c r="O52" i="9"/>
  <c r="Q54" i="9"/>
  <c r="D7" i="20"/>
  <c r="O48" i="9"/>
  <c r="C6" i="20"/>
  <c r="U48" i="9"/>
  <c r="H6" i="20"/>
  <c r="O54" i="9"/>
  <c r="C7" i="20"/>
  <c r="O46" i="9"/>
  <c r="C50" i="2"/>
  <c r="O53" i="9"/>
  <c r="C43" i="2"/>
  <c r="K52" i="19"/>
  <c r="S27" i="13"/>
  <c r="S28" i="13"/>
  <c r="S26" i="13"/>
  <c r="S29" i="13"/>
  <c r="F26" i="7"/>
  <c r="K14" i="7"/>
  <c r="N11" i="7"/>
  <c r="F29" i="7"/>
  <c r="K53" i="19" l="1"/>
  <c r="K54" i="19" s="1"/>
  <c r="H12" i="13"/>
  <c r="U28" i="9" s="1"/>
  <c r="H15" i="13"/>
  <c r="U31" i="9" s="1"/>
  <c r="D12" i="13"/>
  <c r="Q28" i="9" s="1"/>
  <c r="E14" i="13"/>
  <c r="F13" i="13"/>
  <c r="S29" i="9" s="1"/>
  <c r="E12" i="13"/>
  <c r="R28" i="9" s="1"/>
  <c r="F14" i="13"/>
  <c r="C15" i="13"/>
  <c r="O31" i="9" s="1"/>
  <c r="H13" i="13"/>
  <c r="U29" i="9" s="1"/>
  <c r="H14" i="13"/>
  <c r="F12" i="13"/>
  <c r="S28" i="9" s="1"/>
  <c r="C12" i="13"/>
  <c r="C47" i="2" s="1"/>
  <c r="C13" i="13"/>
  <c r="C39" i="2" s="1"/>
  <c r="D13" i="13"/>
  <c r="Q29" i="9" s="1"/>
  <c r="G13" i="13"/>
  <c r="T29" i="9" s="1"/>
  <c r="G15" i="13"/>
  <c r="T31" i="9" s="1"/>
  <c r="G14" i="13"/>
  <c r="G12" i="13"/>
  <c r="T28" i="9" s="1"/>
  <c r="E13" i="13"/>
  <c r="R29" i="9" s="1"/>
  <c r="F15" i="13"/>
  <c r="S31" i="9" s="1"/>
  <c r="D14" i="13"/>
  <c r="C14" i="13"/>
  <c r="D15" i="13"/>
  <c r="Q31" i="9" s="1"/>
  <c r="E15" i="13"/>
  <c r="R31" i="9" s="1"/>
  <c r="A31" i="7"/>
  <c r="B31" i="7"/>
  <c r="C31" i="7"/>
  <c r="D31" i="7"/>
  <c r="E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F31" i="7"/>
  <c r="I29" i="7"/>
  <c r="D28" i="7"/>
  <c r="C28" i="7"/>
  <c r="I28" i="7" s="1"/>
  <c r="D27" i="7"/>
  <c r="C27" i="7"/>
  <c r="M7" i="7"/>
  <c r="L7" i="7"/>
  <c r="N6" i="7"/>
  <c r="L6" i="7"/>
  <c r="K6" i="7"/>
  <c r="N5" i="7"/>
  <c r="M5" i="7"/>
  <c r="K5" i="7"/>
  <c r="M4" i="7"/>
  <c r="L4" i="7"/>
  <c r="Q30" i="9" l="1"/>
  <c r="D3" i="20"/>
  <c r="T30" i="9"/>
  <c r="G3" i="20"/>
  <c r="S30" i="9"/>
  <c r="F3" i="20"/>
  <c r="R30" i="9"/>
  <c r="E3" i="20"/>
  <c r="O30" i="9"/>
  <c r="C3" i="20"/>
  <c r="U30" i="9"/>
  <c r="H3" i="20"/>
  <c r="B6" i="9"/>
  <c r="O28" i="9"/>
  <c r="N12" i="7"/>
  <c r="N19" i="7" s="1"/>
  <c r="O29" i="9"/>
  <c r="N13" i="7"/>
  <c r="N20" i="7" s="1"/>
  <c r="L14" i="7"/>
  <c r="L21" i="7" s="1"/>
  <c r="M14" i="7"/>
  <c r="E27" i="7"/>
  <c r="G27" i="7" s="1"/>
  <c r="I27" i="7"/>
  <c r="E26" i="7"/>
  <c r="G26" i="7" s="1"/>
  <c r="L13" i="7"/>
  <c r="L20" i="7" s="1"/>
  <c r="N18" i="7"/>
  <c r="K21" i="7"/>
  <c r="M12" i="7"/>
  <c r="M19" i="7" s="1"/>
  <c r="E29" i="7"/>
  <c r="G29" i="7" s="1"/>
  <c r="E28" i="7"/>
  <c r="G28" i="7" s="1"/>
  <c r="K13" i="7"/>
  <c r="K20" i="7" s="1"/>
  <c r="F28" i="7"/>
  <c r="L11" i="7"/>
  <c r="L18" i="7" s="1"/>
  <c r="I26" i="7"/>
  <c r="K12" i="7"/>
  <c r="K19" i="7" s="1"/>
  <c r="F27" i="7"/>
  <c r="M11" i="7"/>
  <c r="M18" i="7" s="1"/>
  <c r="D3" i="1"/>
  <c r="D4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" i="1"/>
  <c r="H27" i="7" l="1"/>
  <c r="J27" i="7" s="1"/>
  <c r="H28" i="7"/>
  <c r="J28" i="7" s="1"/>
  <c r="H29" i="7"/>
  <c r="J29" i="7" s="1"/>
  <c r="H26" i="7"/>
  <c r="J26" i="7" s="1"/>
  <c r="M21" i="7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2" i="1"/>
  <c r="K45" i="1"/>
  <c r="J58" i="9" s="1"/>
  <c r="H40" i="1"/>
  <c r="G53" i="9" s="1"/>
  <c r="H45" i="1"/>
  <c r="G58" i="9" s="1"/>
  <c r="K3" i="1"/>
  <c r="J14" i="9" s="1"/>
  <c r="K4" i="1"/>
  <c r="J15" i="9" s="1"/>
  <c r="K5" i="1"/>
  <c r="J16" i="9" s="1"/>
  <c r="K6" i="1"/>
  <c r="J17" i="9" s="1"/>
  <c r="K7" i="1"/>
  <c r="J18" i="9" s="1"/>
  <c r="K8" i="1"/>
  <c r="J19" i="9" s="1"/>
  <c r="K9" i="1"/>
  <c r="J20" i="9" s="1"/>
  <c r="K10" i="1"/>
  <c r="J21" i="9" s="1"/>
  <c r="K11" i="1"/>
  <c r="J22" i="9" s="1"/>
  <c r="K12" i="1"/>
  <c r="J23" i="9" s="1"/>
  <c r="K13" i="1"/>
  <c r="J24" i="9" s="1"/>
  <c r="K14" i="1"/>
  <c r="J25" i="9" s="1"/>
  <c r="K15" i="1"/>
  <c r="J26" i="9" s="1"/>
  <c r="K16" i="1"/>
  <c r="J27" i="9" s="1"/>
  <c r="K17" i="1"/>
  <c r="J28" i="9" s="1"/>
  <c r="K18" i="1"/>
  <c r="J29" i="9" s="1"/>
  <c r="K19" i="1"/>
  <c r="J30" i="9" s="1"/>
  <c r="J31" i="9"/>
  <c r="J32" i="9"/>
  <c r="J33" i="9"/>
  <c r="K23" i="1"/>
  <c r="J34" i="9" s="1"/>
  <c r="K24" i="1"/>
  <c r="J35" i="9" s="1"/>
  <c r="K25" i="1"/>
  <c r="J36" i="9" s="1"/>
  <c r="J37" i="9"/>
  <c r="J38" i="9"/>
  <c r="J39" i="9"/>
  <c r="J40" i="9"/>
  <c r="J41" i="9"/>
  <c r="J42" i="9"/>
  <c r="J43" i="9"/>
  <c r="J44" i="9"/>
  <c r="K34" i="1"/>
  <c r="J45" i="9" s="1"/>
  <c r="K35" i="1"/>
  <c r="J46" i="9" s="1"/>
  <c r="K36" i="1"/>
  <c r="J47" i="9" s="1"/>
  <c r="K37" i="1"/>
  <c r="J48" i="9" s="1"/>
  <c r="H3" i="1"/>
  <c r="G14" i="9" s="1"/>
  <c r="H4" i="1"/>
  <c r="G15" i="9" s="1"/>
  <c r="H5" i="1"/>
  <c r="G16" i="9" s="1"/>
  <c r="H6" i="1"/>
  <c r="G17" i="9" s="1"/>
  <c r="H7" i="1"/>
  <c r="G18" i="9" s="1"/>
  <c r="H8" i="1"/>
  <c r="G19" i="9" s="1"/>
  <c r="H9" i="1"/>
  <c r="G20" i="9" s="1"/>
  <c r="H10" i="1"/>
  <c r="G21" i="9" s="1"/>
  <c r="H11" i="1"/>
  <c r="G22" i="9" s="1"/>
  <c r="H12" i="1"/>
  <c r="G23" i="9" s="1"/>
  <c r="H13" i="1"/>
  <c r="G24" i="9" s="1"/>
  <c r="H14" i="1"/>
  <c r="G25" i="9" s="1"/>
  <c r="H15" i="1"/>
  <c r="G26" i="9" s="1"/>
  <c r="H16" i="1"/>
  <c r="G27" i="9" s="1"/>
  <c r="H17" i="1"/>
  <c r="G28" i="9" s="1"/>
  <c r="H18" i="1"/>
  <c r="G29" i="9" s="1"/>
  <c r="H19" i="1"/>
  <c r="G30" i="9" s="1"/>
  <c r="G31" i="9"/>
  <c r="G32" i="9"/>
  <c r="G33" i="9"/>
  <c r="H23" i="1"/>
  <c r="G34" i="9" s="1"/>
  <c r="H24" i="1"/>
  <c r="G35" i="9" s="1"/>
  <c r="H25" i="1"/>
  <c r="G36" i="9" s="1"/>
  <c r="G37" i="9"/>
  <c r="G38" i="9"/>
  <c r="G39" i="9"/>
  <c r="G40" i="9"/>
  <c r="G41" i="9"/>
  <c r="G42" i="9"/>
  <c r="G43" i="9"/>
  <c r="G44" i="9"/>
  <c r="H34" i="1"/>
  <c r="G45" i="9" s="1"/>
  <c r="H35" i="1"/>
  <c r="G46" i="9" s="1"/>
  <c r="H36" i="1"/>
  <c r="G47" i="9" s="1"/>
  <c r="H37" i="1"/>
  <c r="G48" i="9" s="1"/>
  <c r="K2" i="1"/>
  <c r="J13" i="9" s="1"/>
  <c r="H2" i="1"/>
  <c r="G13" i="9" s="1"/>
  <c r="Q21" i="7" l="1"/>
  <c r="Q18" i="7"/>
  <c r="R19" i="7"/>
  <c r="Q20" i="7"/>
  <c r="P19" i="7"/>
  <c r="S19" i="7"/>
  <c r="C61" i="2"/>
  <c r="R21" i="7"/>
  <c r="S20" i="7"/>
  <c r="P20" i="7"/>
  <c r="S18" i="7"/>
  <c r="P21" i="7"/>
  <c r="R18" i="7"/>
  <c r="T21" i="7" l="1"/>
  <c r="K29" i="7" s="1"/>
  <c r="L29" i="7" s="1"/>
  <c r="T20" i="7"/>
  <c r="K28" i="7" s="1"/>
  <c r="L28" i="7" s="1"/>
  <c r="T19" i="7"/>
  <c r="K27" i="7" s="1"/>
  <c r="L27" i="7" s="1"/>
  <c r="T18" i="7"/>
  <c r="K26" i="7" s="1"/>
  <c r="L26" i="7" s="1"/>
  <c r="Q11" i="7" l="1"/>
  <c r="R12" i="7"/>
  <c r="P12" i="7"/>
  <c r="S12" i="7"/>
  <c r="Q13" i="7"/>
  <c r="Q14" i="7"/>
  <c r="S11" i="7"/>
  <c r="P14" i="7"/>
  <c r="S13" i="7"/>
  <c r="P13" i="7"/>
  <c r="R14" i="7"/>
  <c r="R11" i="7"/>
  <c r="T14" i="7" l="1"/>
  <c r="M29" i="7" s="1"/>
  <c r="N29" i="7" s="1"/>
  <c r="T13" i="7"/>
  <c r="M28" i="7" s="1"/>
  <c r="N28" i="7" s="1"/>
  <c r="T11" i="7"/>
  <c r="M26" i="7" s="1"/>
  <c r="N26" i="7" s="1"/>
  <c r="T12" i="7"/>
  <c r="R7" i="7" l="1"/>
  <c r="P7" i="7"/>
  <c r="S6" i="7"/>
  <c r="M27" i="7"/>
  <c r="N27" i="7" s="1"/>
  <c r="S4" i="7"/>
  <c r="R4" i="7"/>
  <c r="P6" i="7"/>
  <c r="R5" i="7" l="1"/>
  <c r="S5" i="7"/>
  <c r="P5" i="7"/>
  <c r="Q6" i="7"/>
  <c r="T6" i="7" s="1"/>
  <c r="Q7" i="7"/>
  <c r="T7" i="7" s="1"/>
  <c r="O29" i="7" s="1"/>
  <c r="Q4" i="7"/>
  <c r="T4" i="7" s="1"/>
  <c r="O26" i="7" s="1"/>
  <c r="T5" i="7" l="1"/>
  <c r="O27" i="7" s="1"/>
  <c r="P27" i="7" s="1"/>
  <c r="O28" i="7"/>
  <c r="P28" i="7" s="1"/>
  <c r="U28" i="7" s="1"/>
  <c r="P29" i="7"/>
  <c r="U29" i="7" s="1"/>
  <c r="P26" i="7"/>
  <c r="U27" i="7" l="1"/>
  <c r="U26" i="7"/>
  <c r="V26" i="7" l="1"/>
  <c r="V27" i="7"/>
  <c r="V28" i="7"/>
  <c r="V29" i="7"/>
  <c r="W27" i="7" l="1"/>
  <c r="W26" i="7"/>
  <c r="J18" i="7"/>
  <c r="P10" i="7"/>
  <c r="P3" i="7"/>
  <c r="K3" i="7"/>
  <c r="J4" i="7"/>
  <c r="B5" i="7"/>
  <c r="P17" i="7"/>
  <c r="K17" i="7"/>
  <c r="B3" i="7"/>
  <c r="K10" i="7"/>
  <c r="D7" i="7"/>
  <c r="J11" i="7"/>
  <c r="A26" i="7"/>
  <c r="Q17" i="7"/>
  <c r="L17" i="7"/>
  <c r="J12" i="7"/>
  <c r="L10" i="7"/>
  <c r="D8" i="7"/>
  <c r="B6" i="7"/>
  <c r="Q3" i="7"/>
  <c r="L3" i="7"/>
  <c r="D3" i="7"/>
  <c r="J5" i="7"/>
  <c r="J19" i="7"/>
  <c r="Q10" i="7"/>
  <c r="A27" i="7"/>
  <c r="R17" i="7"/>
  <c r="R3" i="7"/>
  <c r="D5" i="7"/>
  <c r="J6" i="7"/>
  <c r="M10" i="7"/>
  <c r="J13" i="7"/>
  <c r="B4" i="7"/>
  <c r="M3" i="7"/>
  <c r="B8" i="7"/>
  <c r="M17" i="7"/>
  <c r="R10" i="7"/>
  <c r="J20" i="7"/>
  <c r="A28" i="7"/>
  <c r="S10" i="7"/>
  <c r="J21" i="7"/>
  <c r="S17" i="7"/>
  <c r="S3" i="7"/>
  <c r="D6" i="7"/>
  <c r="B7" i="7"/>
  <c r="N10" i="7"/>
  <c r="J14" i="7"/>
  <c r="N17" i="7"/>
  <c r="D4" i="7"/>
  <c r="N3" i="7"/>
  <c r="J7" i="7"/>
  <c r="A29" i="7"/>
  <c r="W28" i="7" l="1"/>
  <c r="B28" i="7"/>
  <c r="B27" i="7"/>
  <c r="Q26" i="7" l="1"/>
  <c r="R26" i="7" s="1"/>
  <c r="Q27" i="7"/>
  <c r="R27" i="7" s="1"/>
  <c r="T27" i="7" s="1"/>
  <c r="Q28" i="7"/>
  <c r="R28" i="7" s="1"/>
  <c r="T28" i="7" s="1"/>
  <c r="Q29" i="7"/>
  <c r="R29" i="7" s="1"/>
  <c r="X27" i="7"/>
  <c r="X29" i="7"/>
  <c r="X28" i="7"/>
  <c r="X26" i="7"/>
  <c r="T29" i="7" l="1"/>
  <c r="S29" i="7"/>
  <c r="S26" i="7"/>
  <c r="S27" i="7"/>
  <c r="S28" i="7"/>
  <c r="T26" i="7"/>
  <c r="G15" i="7" l="1"/>
  <c r="T25" i="9" s="1"/>
  <c r="C15" i="7"/>
  <c r="O25" i="9" s="1"/>
  <c r="E14" i="7"/>
  <c r="E13" i="7"/>
  <c r="R23" i="9" s="1"/>
  <c r="G12" i="7"/>
  <c r="T22" i="9" s="1"/>
  <c r="C12" i="7"/>
  <c r="H14" i="7"/>
  <c r="H13" i="7"/>
  <c r="U23" i="9" s="1"/>
  <c r="E15" i="7"/>
  <c r="R25" i="9" s="1"/>
  <c r="G14" i="7"/>
  <c r="C14" i="7"/>
  <c r="G13" i="7"/>
  <c r="T23" i="9" s="1"/>
  <c r="C13" i="7"/>
  <c r="C38" i="2" s="1"/>
  <c r="E12" i="7"/>
  <c r="R22" i="9" s="1"/>
  <c r="H15" i="7"/>
  <c r="U25" i="9" s="1"/>
  <c r="D15" i="7"/>
  <c r="Q25" i="9" s="1"/>
  <c r="F14" i="7"/>
  <c r="F2" i="20" s="1"/>
  <c r="F13" i="7"/>
  <c r="S23" i="9" s="1"/>
  <c r="H12" i="7"/>
  <c r="U22" i="9" s="1"/>
  <c r="D12" i="7"/>
  <c r="Q22" i="9" s="1"/>
  <c r="F15" i="7"/>
  <c r="S25" i="9" s="1"/>
  <c r="D14" i="7"/>
  <c r="D13" i="7"/>
  <c r="Q23" i="9" s="1"/>
  <c r="F12" i="7"/>
  <c r="S22" i="9" s="1"/>
  <c r="S24" i="9" l="1"/>
  <c r="O24" i="9"/>
  <c r="C2" i="20"/>
  <c r="U24" i="9"/>
  <c r="H2" i="20"/>
  <c r="R24" i="9"/>
  <c r="E2" i="20"/>
  <c r="Q24" i="9"/>
  <c r="D2" i="20"/>
  <c r="T24" i="9"/>
  <c r="G2" i="20"/>
  <c r="O22" i="9"/>
  <c r="C46" i="2"/>
  <c r="H41" i="1" s="1"/>
  <c r="G54" i="9" s="1"/>
  <c r="O23" i="9"/>
  <c r="H38" i="1" l="1"/>
  <c r="G51" i="9" s="1"/>
  <c r="H44" i="1"/>
  <c r="G57" i="9" s="1"/>
  <c r="M10" i="14"/>
  <c r="J6" i="14"/>
  <c r="R3" i="14"/>
  <c r="R17" i="14"/>
  <c r="B8" i="14"/>
  <c r="M3" i="14"/>
  <c r="M17" i="14"/>
  <c r="J20" i="14"/>
  <c r="J13" i="14"/>
  <c r="B4" i="14"/>
  <c r="R10" i="14"/>
  <c r="D5" i="14"/>
  <c r="A28" i="14"/>
  <c r="Q28" i="14" l="1"/>
  <c r="R28" i="14" s="1"/>
  <c r="X28" i="14"/>
  <c r="S28" i="14" l="1"/>
  <c r="S27" i="14"/>
  <c r="T28" i="14"/>
  <c r="S29" i="14"/>
  <c r="S26" i="14"/>
  <c r="G14" i="14" l="1"/>
  <c r="E15" i="14"/>
  <c r="R37" i="9" s="1"/>
  <c r="E13" i="14"/>
  <c r="R35" i="9" s="1"/>
  <c r="G13" i="14"/>
  <c r="T35" i="9" s="1"/>
  <c r="D13" i="14"/>
  <c r="Q35" i="9" s="1"/>
  <c r="F12" i="14"/>
  <c r="S34" i="9" s="1"/>
  <c r="E14" i="14"/>
  <c r="D15" i="14"/>
  <c r="Q37" i="9" s="1"/>
  <c r="E12" i="14"/>
  <c r="R34" i="9" s="1"/>
  <c r="D14" i="14"/>
  <c r="H13" i="14"/>
  <c r="U35" i="9" s="1"/>
  <c r="C14" i="14"/>
  <c r="G15" i="14"/>
  <c r="T37" i="9" s="1"/>
  <c r="H12" i="14"/>
  <c r="U34" i="9" s="1"/>
  <c r="F15" i="14"/>
  <c r="S37" i="9" s="1"/>
  <c r="G12" i="14"/>
  <c r="T34" i="9" s="1"/>
  <c r="H15" i="14"/>
  <c r="U37" i="9" s="1"/>
  <c r="F13" i="14"/>
  <c r="S35" i="9" s="1"/>
  <c r="C15" i="14"/>
  <c r="O37" i="9" s="1"/>
  <c r="D12" i="14"/>
  <c r="Q34" i="9" s="1"/>
  <c r="H14" i="14"/>
  <c r="F14" i="14"/>
  <c r="C13" i="14"/>
  <c r="C40" i="2" s="1"/>
  <c r="K38" i="1" s="1"/>
  <c r="J51" i="9" s="1"/>
  <c r="C54" i="2" s="1"/>
  <c r="H46" i="1" s="1"/>
  <c r="G61" i="9" s="1"/>
  <c r="C12" i="14"/>
  <c r="C48" i="2" s="1"/>
  <c r="H43" i="1" l="1"/>
  <c r="G56" i="9" s="1"/>
  <c r="H42" i="1"/>
  <c r="G55" i="9" s="1"/>
  <c r="R36" i="9"/>
  <c r="E4" i="20"/>
  <c r="S36" i="9"/>
  <c r="F4" i="20"/>
  <c r="Q36" i="9"/>
  <c r="D4" i="20"/>
  <c r="O36" i="9"/>
  <c r="C4" i="20"/>
  <c r="U36" i="9"/>
  <c r="H4" i="20"/>
  <c r="T36" i="9"/>
  <c r="G4" i="20"/>
  <c r="O34" i="9"/>
  <c r="H39" i="1"/>
  <c r="G52" i="9" s="1"/>
  <c r="O35" i="9"/>
  <c r="I4" i="20" l="1"/>
  <c r="J4" i="20" s="1"/>
  <c r="I5" i="20"/>
  <c r="J5" i="20" s="1"/>
  <c r="I6" i="20"/>
  <c r="J6" i="20" s="1"/>
  <c r="I7" i="20"/>
  <c r="J7" i="20" s="1"/>
  <c r="I3" i="20"/>
  <c r="J3" i="20" s="1"/>
  <c r="I2" i="20"/>
  <c r="J2" i="20" s="1"/>
  <c r="K2" i="20" l="1"/>
  <c r="K3" i="20"/>
  <c r="K4" i="20"/>
  <c r="K6" i="20"/>
  <c r="K5" i="20"/>
  <c r="K7" i="20"/>
  <c r="K49" i="1"/>
  <c r="J64" i="9" s="1"/>
  <c r="C12" i="20" l="1"/>
  <c r="O59" i="9" s="1"/>
  <c r="C13" i="20"/>
  <c r="O60" i="9" s="1"/>
  <c r="H14" i="20"/>
  <c r="U61" i="9" s="1"/>
  <c r="K16" i="20"/>
  <c r="F14" i="20"/>
  <c r="S61" i="9" s="1"/>
  <c r="E13" i="20"/>
  <c r="R60" i="9" s="1"/>
  <c r="H16" i="20"/>
  <c r="U63" i="9" s="1"/>
  <c r="D15" i="20"/>
  <c r="Q62" i="9" s="1"/>
  <c r="F16" i="20"/>
  <c r="S63" i="9" s="1"/>
  <c r="C16" i="20"/>
  <c r="O63" i="9" s="1"/>
  <c r="G16" i="20"/>
  <c r="T63" i="9" s="1"/>
  <c r="K13" i="20"/>
  <c r="E16" i="20"/>
  <c r="R63" i="9" s="1"/>
  <c r="G12" i="20"/>
  <c r="T59" i="9" s="1"/>
  <c r="H12" i="20"/>
  <c r="U59" i="9" s="1"/>
  <c r="F12" i="20"/>
  <c r="S59" i="9" s="1"/>
  <c r="E12" i="20"/>
  <c r="R59" i="9" s="1"/>
  <c r="D12" i="20"/>
  <c r="Q59" i="9" s="1"/>
  <c r="K12" i="20"/>
  <c r="D14" i="20"/>
  <c r="Q61" i="9" s="1"/>
  <c r="C14" i="20"/>
  <c r="O61" i="9" s="1"/>
  <c r="H11" i="20"/>
  <c r="U58" i="9" s="1"/>
  <c r="G14" i="20"/>
  <c r="T61" i="9" s="1"/>
  <c r="H13" i="20"/>
  <c r="U60" i="9" s="1"/>
  <c r="D16" i="20"/>
  <c r="Q63" i="9" s="1"/>
  <c r="E11" i="20"/>
  <c r="R58" i="9" s="1"/>
  <c r="E14" i="20"/>
  <c r="R61" i="9" s="1"/>
  <c r="K14" i="20"/>
  <c r="G15" i="20"/>
  <c r="T62" i="9" s="1"/>
  <c r="D13" i="20"/>
  <c r="Q60" i="9" s="1"/>
  <c r="G13" i="20"/>
  <c r="T60" i="9" s="1"/>
  <c r="C11" i="20"/>
  <c r="O58" i="9" s="1"/>
  <c r="G11" i="20"/>
  <c r="T58" i="9" s="1"/>
  <c r="F15" i="20"/>
  <c r="S62" i="9" s="1"/>
  <c r="F13" i="20"/>
  <c r="S60" i="9" s="1"/>
  <c r="K15" i="20"/>
  <c r="C15" i="20"/>
  <c r="O62" i="9" s="1"/>
  <c r="F11" i="20"/>
  <c r="S58" i="9" s="1"/>
  <c r="E15" i="20"/>
  <c r="R62" i="9" s="1"/>
  <c r="H15" i="20"/>
  <c r="U62" i="9" s="1"/>
  <c r="K11" i="20"/>
  <c r="D11" i="20"/>
  <c r="Q58" i="9" s="1"/>
  <c r="L11" i="20" l="1"/>
  <c r="M3" i="20" s="1"/>
  <c r="N3" i="20" s="1"/>
  <c r="M6" i="20" l="1"/>
  <c r="N6" i="20" s="1"/>
  <c r="M4" i="20"/>
  <c r="N4" i="20" s="1"/>
  <c r="M5" i="20"/>
  <c r="N5" i="20" s="1"/>
  <c r="M2" i="20"/>
  <c r="N2" i="20" s="1"/>
  <c r="M7" i="20"/>
  <c r="N7" i="20" s="1"/>
  <c r="O2" i="20" l="1"/>
  <c r="G19" i="20" s="1"/>
  <c r="G28" i="20" s="1"/>
  <c r="G25" i="20" l="1"/>
  <c r="G26" i="20"/>
  <c r="J19" i="20"/>
  <c r="J25" i="20" s="1"/>
  <c r="Q19" i="20"/>
  <c r="Q26" i="20" s="1"/>
  <c r="R19" i="20"/>
  <c r="R27" i="20" s="1"/>
  <c r="M19" i="20"/>
  <c r="M25" i="20" s="1"/>
  <c r="N19" i="20"/>
  <c r="N28" i="20" s="1"/>
  <c r="T19" i="20"/>
  <c r="T27" i="20" s="1"/>
  <c r="G27" i="20"/>
  <c r="K19" i="20"/>
  <c r="K28" i="20" s="1"/>
  <c r="S19" i="20"/>
  <c r="S26" i="20" s="1"/>
  <c r="O19" i="20"/>
  <c r="O25" i="20" s="1"/>
  <c r="L19" i="20"/>
  <c r="L28" i="20" s="1"/>
  <c r="P19" i="20"/>
  <c r="P28" i="20" s="1"/>
  <c r="H19" i="20"/>
  <c r="H25" i="20" s="1"/>
  <c r="I19" i="20"/>
  <c r="I25" i="20" s="1"/>
  <c r="F19" i="20"/>
  <c r="F26" i="20" s="1"/>
  <c r="K26" i="20"/>
  <c r="R26" i="20" l="1"/>
  <c r="R28" i="20"/>
  <c r="P26" i="20"/>
  <c r="M26" i="20"/>
  <c r="L27" i="20"/>
  <c r="R25" i="20"/>
  <c r="P27" i="20"/>
  <c r="K25" i="20"/>
  <c r="M28" i="20"/>
  <c r="M27" i="20"/>
  <c r="P25" i="20"/>
  <c r="L26" i="20"/>
  <c r="K27" i="20"/>
  <c r="S27" i="20"/>
  <c r="N25" i="20"/>
  <c r="J26" i="20"/>
  <c r="L25" i="20"/>
  <c r="N26" i="20"/>
  <c r="J28" i="20"/>
  <c r="N27" i="20"/>
  <c r="J27" i="20"/>
  <c r="H27" i="20"/>
  <c r="H28" i="20"/>
  <c r="F28" i="20"/>
  <c r="T25" i="20"/>
  <c r="T26" i="20"/>
  <c r="Q28" i="20"/>
  <c r="Q27" i="20"/>
  <c r="T28" i="20"/>
  <c r="Q25" i="20"/>
  <c r="O28" i="20"/>
  <c r="I26" i="20"/>
  <c r="H26" i="20"/>
  <c r="O27" i="20"/>
  <c r="F25" i="20"/>
  <c r="F27" i="20"/>
  <c r="O26" i="20"/>
  <c r="S25" i="20"/>
  <c r="I28" i="20"/>
  <c r="S28" i="20"/>
  <c r="I27" i="20"/>
  <c r="U27" i="20" l="1"/>
  <c r="D32" i="20" s="1"/>
  <c r="E32" i="20" s="1"/>
  <c r="K42" i="1" s="1"/>
  <c r="J55" i="9" s="1"/>
  <c r="C58" i="2" s="1"/>
  <c r="H48" i="1" s="1"/>
  <c r="G63" i="9" s="1"/>
  <c r="U26" i="20"/>
  <c r="D33" i="20" s="1"/>
  <c r="E33" i="20" s="1"/>
  <c r="U28" i="20"/>
  <c r="D35" i="20" s="1"/>
  <c r="E35" i="20" s="1"/>
  <c r="K41" i="1" s="1"/>
  <c r="J54" i="9" s="1"/>
  <c r="C57" i="2" s="1"/>
  <c r="H49" i="1" s="1"/>
  <c r="G64" i="9" s="1"/>
  <c r="C65" i="2" s="1"/>
  <c r="K51" i="1" s="1"/>
  <c r="J68" i="9" s="1"/>
  <c r="U25" i="20"/>
  <c r="D34" i="20" s="1"/>
  <c r="E34" i="20" s="1"/>
  <c r="K40" i="1" s="1"/>
  <c r="J53" i="9" s="1"/>
  <c r="C56" i="2" s="1"/>
  <c r="K46" i="1" s="1"/>
  <c r="J61" i="9" s="1"/>
  <c r="C62" i="2" s="1"/>
  <c r="H50" i="1" s="1"/>
  <c r="G67" i="9" s="1"/>
  <c r="J56" i="9"/>
  <c r="C59" i="2" s="1"/>
  <c r="K47" i="1" s="1"/>
  <c r="J62" i="9" s="1"/>
  <c r="J57" i="9"/>
  <c r="C60" i="2" s="1"/>
  <c r="K48" i="1" s="1"/>
  <c r="J63" i="9" s="1"/>
  <c r="K39" i="1"/>
  <c r="J52" i="9" s="1"/>
  <c r="C55" i="2" s="1"/>
  <c r="H47" i="1" s="1"/>
  <c r="G62" i="9" s="1"/>
  <c r="J40" i="1" l="1"/>
  <c r="J39" i="1"/>
  <c r="C63" i="2"/>
  <c r="K50" i="1" s="1"/>
  <c r="C64" i="2"/>
  <c r="H51" i="1" s="1"/>
  <c r="G68" i="9" s="1"/>
  <c r="C35" i="2" s="1"/>
  <c r="C67" i="2" l="1"/>
  <c r="K53" i="1" s="1"/>
  <c r="J74" i="9" s="1"/>
  <c r="J67" i="9"/>
  <c r="C66" i="2" l="1"/>
  <c r="H53" i="1" s="1"/>
  <c r="G74" i="9" s="1"/>
  <c r="C37" i="2" s="1"/>
  <c r="H52" i="1" s="1"/>
  <c r="G71" i="9" s="1"/>
  <c r="C36" i="2" s="1"/>
  <c r="C34" i="2"/>
  <c r="C69" i="2"/>
  <c r="J76" i="9" s="1"/>
  <c r="K52" i="1" l="1"/>
  <c r="J71" i="9" s="1"/>
  <c r="C68" i="2" s="1"/>
</calcChain>
</file>

<file path=xl/sharedStrings.xml><?xml version="1.0" encoding="utf-8"?>
<sst xmlns="http://schemas.openxmlformats.org/spreadsheetml/2006/main" count="3306" uniqueCount="637">
  <si>
    <t xml:space="preserve">Match 1 </t>
  </si>
  <si>
    <t xml:space="preserve">A2 </t>
  </si>
  <si>
    <t xml:space="preserve">A3 </t>
  </si>
  <si>
    <t xml:space="preserve">Match 2 </t>
  </si>
  <si>
    <t xml:space="preserve">A4 </t>
  </si>
  <si>
    <t xml:space="preserve">Match 17 </t>
  </si>
  <si>
    <t xml:space="preserve">Match 18 </t>
  </si>
  <si>
    <t xml:space="preserve">Match 33 </t>
  </si>
  <si>
    <t xml:space="preserve">Match 34 </t>
  </si>
  <si>
    <t xml:space="preserve">B1 </t>
  </si>
  <si>
    <t xml:space="preserve">Match 3 </t>
  </si>
  <si>
    <t xml:space="preserve">B2 </t>
  </si>
  <si>
    <t xml:space="preserve">B3 </t>
  </si>
  <si>
    <t xml:space="preserve">Match 4 </t>
  </si>
  <si>
    <t xml:space="preserve">B4 </t>
  </si>
  <si>
    <t xml:space="preserve">Match 19 </t>
  </si>
  <si>
    <t xml:space="preserve">Match 20 </t>
  </si>
  <si>
    <t xml:space="preserve">Match 35 </t>
  </si>
  <si>
    <t xml:space="preserve">Match 36 </t>
  </si>
  <si>
    <t xml:space="preserve">C1 </t>
  </si>
  <si>
    <t xml:space="preserve">Match 5 </t>
  </si>
  <si>
    <t xml:space="preserve">C2 </t>
  </si>
  <si>
    <t xml:space="preserve">C3 </t>
  </si>
  <si>
    <t xml:space="preserve">Match 6 </t>
  </si>
  <si>
    <t xml:space="preserve">C4 </t>
  </si>
  <si>
    <t xml:space="preserve">Match 21 </t>
  </si>
  <si>
    <t xml:space="preserve">Match 22 </t>
  </si>
  <si>
    <t xml:space="preserve">Match 37 </t>
  </si>
  <si>
    <t xml:space="preserve">Match 38 </t>
  </si>
  <si>
    <t xml:space="preserve">D1 </t>
  </si>
  <si>
    <t xml:space="preserve">Match 7 </t>
  </si>
  <si>
    <t xml:space="preserve">D2 </t>
  </si>
  <si>
    <t xml:space="preserve">D3 </t>
  </si>
  <si>
    <t xml:space="preserve">Match 8 </t>
  </si>
  <si>
    <t xml:space="preserve">D4 </t>
  </si>
  <si>
    <t xml:space="preserve">Match 23 </t>
  </si>
  <si>
    <t xml:space="preserve">Match 24 </t>
  </si>
  <si>
    <t xml:space="preserve">Match 39 </t>
  </si>
  <si>
    <t xml:space="preserve">Match 40 </t>
  </si>
  <si>
    <t xml:space="preserve">E1 </t>
  </si>
  <si>
    <t xml:space="preserve">Match 9 </t>
  </si>
  <si>
    <t xml:space="preserve">E2 </t>
  </si>
  <si>
    <t xml:space="preserve">E3 </t>
  </si>
  <si>
    <t xml:space="preserve">Match 10 </t>
  </si>
  <si>
    <t xml:space="preserve">E4 </t>
  </si>
  <si>
    <t xml:space="preserve">Match 25 </t>
  </si>
  <si>
    <t xml:space="preserve">Match 26 </t>
  </si>
  <si>
    <t xml:space="preserve">Match 41 </t>
  </si>
  <si>
    <t xml:space="preserve">Match 42 </t>
  </si>
  <si>
    <t xml:space="preserve">F1 </t>
  </si>
  <si>
    <t xml:space="preserve">Match 11 </t>
  </si>
  <si>
    <t xml:space="preserve">F2 </t>
  </si>
  <si>
    <t xml:space="preserve">F3 </t>
  </si>
  <si>
    <t xml:space="preserve">Match 12 </t>
  </si>
  <si>
    <t xml:space="preserve">F4 </t>
  </si>
  <si>
    <t xml:space="preserve">Match 27 </t>
  </si>
  <si>
    <t xml:space="preserve">Match 28 </t>
  </si>
  <si>
    <t xml:space="preserve">Match 43 </t>
  </si>
  <si>
    <t xml:space="preserve">Match 44 </t>
  </si>
  <si>
    <t>H1</t>
  </si>
  <si>
    <t>H2</t>
  </si>
  <si>
    <t>H3</t>
  </si>
  <si>
    <t>H4</t>
  </si>
  <si>
    <t>B</t>
  </si>
  <si>
    <t>A</t>
  </si>
  <si>
    <t>C</t>
  </si>
  <si>
    <t>D</t>
  </si>
  <si>
    <t>E</t>
  </si>
  <si>
    <t>F</t>
  </si>
  <si>
    <t>G</t>
  </si>
  <si>
    <t>H</t>
  </si>
  <si>
    <t>Line</t>
  </si>
  <si>
    <t>Group</t>
  </si>
  <si>
    <t>Date</t>
  </si>
  <si>
    <t>Home Team</t>
  </si>
  <si>
    <t>Match No</t>
  </si>
  <si>
    <t>Away Team</t>
  </si>
  <si>
    <t>Stadium</t>
  </si>
  <si>
    <t>Match sequence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</si>
  <si>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</si>
  <si>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</si>
  <si>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</si>
  <si>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</si>
  <si>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</si>
  <si>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</si>
  <si>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</si>
  <si>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</si>
  <si>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</si>
  <si>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</si>
  <si>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</si>
  <si>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</si>
  <si>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</si>
  <si>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</si>
  <si>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</si>
  <si>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</si>
  <si>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</si>
  <si>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</si>
  <si>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</si>
  <si>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</si>
  <si>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</si>
  <si>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</si>
  <si>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</si>
  <si>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</si>
  <si>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</si>
  <si>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</si>
  <si>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</si>
  <si>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</si>
  <si>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Home Team Code</t>
  </si>
  <si>
    <t>Away Team Code</t>
  </si>
  <si>
    <t>Round of 16</t>
  </si>
  <si>
    <t>Winner Group A</t>
  </si>
  <si>
    <t>Match 49</t>
  </si>
  <si>
    <t>Runner-up Group B</t>
  </si>
  <si>
    <t>Winner Group C</t>
  </si>
  <si>
    <t>Match 50</t>
  </si>
  <si>
    <t>Runner-up Group D</t>
  </si>
  <si>
    <t>Winner Group B</t>
  </si>
  <si>
    <t>Match 51</t>
  </si>
  <si>
    <t>Runner-up Group A</t>
  </si>
  <si>
    <t>Winner Group D</t>
  </si>
  <si>
    <t>Match 52</t>
  </si>
  <si>
    <t>Runner-up Group C</t>
  </si>
  <si>
    <t>Winner Group E</t>
  </si>
  <si>
    <t>Match 53</t>
  </si>
  <si>
    <t>Runner-up Group F</t>
  </si>
  <si>
    <t>Winner Group G</t>
  </si>
  <si>
    <t>Match 54</t>
  </si>
  <si>
    <t>Runner-up Group H</t>
  </si>
  <si>
    <t>Winner Group F</t>
  </si>
  <si>
    <t>Match 55</t>
  </si>
  <si>
    <t>Runner-up Group E</t>
  </si>
  <si>
    <t>Winner Group H</t>
  </si>
  <si>
    <t>Match 56</t>
  </si>
  <si>
    <t>Runner-up Group G</t>
  </si>
  <si>
    <t>Quarter-finals</t>
  </si>
  <si>
    <t>Winner Match 49</t>
  </si>
  <si>
    <t>Match 57</t>
  </si>
  <si>
    <t>Winner Match 50</t>
  </si>
  <si>
    <t>Match 58</t>
  </si>
  <si>
    <t>Winner Match 51</t>
  </si>
  <si>
    <t>Match 59</t>
  </si>
  <si>
    <t>Match 60</t>
  </si>
  <si>
    <t>Semi-finals</t>
  </si>
  <si>
    <t>Match 61</t>
  </si>
  <si>
    <t>Match 62</t>
  </si>
  <si>
    <t>Third place match</t>
  </si>
  <si>
    <t>Loser Match 61</t>
  </si>
  <si>
    <t>Match 63</t>
  </si>
  <si>
    <t>Loser Match 62</t>
  </si>
  <si>
    <t>Final</t>
  </si>
  <si>
    <t>Match 64</t>
  </si>
  <si>
    <t>Round</t>
  </si>
  <si>
    <t>Knockout</t>
  </si>
  <si>
    <t>Loser Match 63</t>
  </si>
  <si>
    <t>GMT</t>
  </si>
  <si>
    <t>BST</t>
  </si>
  <si>
    <t>Points</t>
  </si>
  <si>
    <t>GF</t>
  </si>
  <si>
    <t>Day</t>
  </si>
  <si>
    <t>points</t>
  </si>
  <si>
    <t>Against</t>
  </si>
  <si>
    <t>vs</t>
  </si>
  <si>
    <t>Sum</t>
  </si>
  <si>
    <t>Played</t>
  </si>
  <si>
    <t>GA</t>
  </si>
  <si>
    <t>GD</t>
  </si>
  <si>
    <t>Match points</t>
  </si>
  <si>
    <t>GD Points</t>
  </si>
  <si>
    <t>Goals Scored points</t>
  </si>
  <si>
    <t>Points between teams</t>
  </si>
  <si>
    <t>Goal difference between teams points</t>
  </si>
  <si>
    <t>Fifa lots points</t>
  </si>
  <si>
    <t>Goals scored between teams points</t>
  </si>
  <si>
    <t>Goals scored table</t>
  </si>
  <si>
    <t>Goal Difference table</t>
  </si>
  <si>
    <t>Points between teams table</t>
  </si>
  <si>
    <t>Displayed points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</si>
  <si>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</si>
  <si>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</si>
  <si>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</si>
  <si>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</si>
  <si>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</si>
  <si>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</si>
  <si>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</si>
  <si>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</si>
  <si>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</si>
  <si>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</si>
  <si>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</si>
  <si>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</si>
  <si>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F+G</t>
  </si>
  <si>
    <t>H+I</t>
  </si>
  <si>
    <t>J+K</t>
  </si>
  <si>
    <t>L+M</t>
  </si>
  <si>
    <t>N+O</t>
  </si>
  <si>
    <t>Total Points Q+R</t>
  </si>
  <si>
    <t>Team</t>
  </si>
  <si>
    <t>Posn</t>
  </si>
  <si>
    <t>Final Rank</t>
  </si>
  <si>
    <t>Fifa Lots</t>
  </si>
  <si>
    <t>score home</t>
  </si>
  <si>
    <t>score away</t>
  </si>
  <si>
    <t>home team</t>
  </si>
  <si>
    <t>away team</t>
  </si>
  <si>
    <t>points away</t>
  </si>
  <si>
    <t>Game played</t>
  </si>
  <si>
    <t>Identifies duplicates</t>
  </si>
  <si>
    <t>Points before fifa lots</t>
  </si>
  <si>
    <t>Rank before fifa lots</t>
  </si>
  <si>
    <t>Local Time</t>
  </si>
  <si>
    <t>GMT-12</t>
  </si>
  <si>
    <t>GMT-11</t>
  </si>
  <si>
    <t>GMT-1</t>
  </si>
  <si>
    <t>GMT-2</t>
  </si>
  <si>
    <t>GMT-3</t>
  </si>
  <si>
    <t>GMT-4</t>
  </si>
  <si>
    <t>GMT-5</t>
  </si>
  <si>
    <t>GMT-6</t>
  </si>
  <si>
    <t>GMT-7</t>
  </si>
  <si>
    <t>GMT-8</t>
  </si>
  <si>
    <t>GMT-9</t>
  </si>
  <si>
    <t>GMT-10</t>
  </si>
  <si>
    <t>GMT+1</t>
  </si>
  <si>
    <t>GMT+12</t>
  </si>
  <si>
    <t>GMT+11</t>
  </si>
  <si>
    <t>GMT+10</t>
  </si>
  <si>
    <t>GMT+9</t>
  </si>
  <si>
    <t>GMT+8</t>
  </si>
  <si>
    <t>GMT+7</t>
  </si>
  <si>
    <t>GMT+6</t>
  </si>
  <si>
    <t>GMT+5</t>
  </si>
  <si>
    <t>GMT+4</t>
  </si>
  <si>
    <t>GMT+3</t>
  </si>
  <si>
    <t>GMT+2</t>
  </si>
  <si>
    <t>Time Difference to GMT</t>
  </si>
  <si>
    <t>Note: Need to take 2 days off</t>
  </si>
  <si>
    <t>Team Ref</t>
  </si>
  <si>
    <t>Team Name</t>
  </si>
  <si>
    <t>Stage</t>
  </si>
  <si>
    <t>Grp</t>
  </si>
  <si>
    <t>Match Played</t>
  </si>
  <si>
    <t>1st</t>
  </si>
  <si>
    <t>2nd</t>
  </si>
  <si>
    <t>3rd</t>
  </si>
  <si>
    <t>4th</t>
  </si>
  <si>
    <t>Semi 61 Loser</t>
  </si>
  <si>
    <t>Semi 62 Loser</t>
  </si>
  <si>
    <t>Penalties</t>
  </si>
  <si>
    <t>Goals and Penalties</t>
  </si>
  <si>
    <t>Third Place Match</t>
  </si>
  <si>
    <t>Semi-Finals</t>
  </si>
  <si>
    <t>Quarter-Finals</t>
  </si>
  <si>
    <t>Group Stage</t>
  </si>
  <si>
    <t>Pts</t>
  </si>
  <si>
    <t>Pld</t>
  </si>
  <si>
    <t>Result</t>
  </si>
  <si>
    <t>Estádio Nacional, Brasília</t>
  </si>
  <si>
    <t>Date and Time</t>
  </si>
  <si>
    <t>Text</t>
  </si>
  <si>
    <t>URL</t>
  </si>
  <si>
    <t>Amazon</t>
  </si>
  <si>
    <t>Ladbrokes</t>
  </si>
  <si>
    <t>Free Offer</t>
  </si>
  <si>
    <t>Sky Bet</t>
  </si>
  <si>
    <t>bet365</t>
  </si>
  <si>
    <t>paddypower</t>
  </si>
  <si>
    <t>BETVICTOR</t>
  </si>
  <si>
    <t>William HILL</t>
  </si>
  <si>
    <t>betfair</t>
  </si>
  <si>
    <t>StanJames.com</t>
  </si>
  <si>
    <t>SportsWinner</t>
  </si>
  <si>
    <t>Boylesports.com</t>
  </si>
  <si>
    <t>188BET</t>
  </si>
  <si>
    <t>sportingbet</t>
  </si>
  <si>
    <t>10Bet</t>
  </si>
  <si>
    <t>BETFRED.com</t>
  </si>
  <si>
    <t>totesport</t>
  </si>
  <si>
    <t>SPORTINGINDEX</t>
  </si>
  <si>
    <t>UNIBET</t>
  </si>
  <si>
    <t>bwin</t>
  </si>
  <si>
    <t>Final Text</t>
  </si>
  <si>
    <t>Affiliate code</t>
  </si>
  <si>
    <t>Final URL</t>
  </si>
  <si>
    <t>Hyperlinks</t>
  </si>
  <si>
    <t>http://www.bbc.co.uk/news</t>
  </si>
  <si>
    <t>ano</t>
  </si>
  <si>
    <t>sports betting, poker, casino, bingo</t>
  </si>
  <si>
    <t>Categories</t>
  </si>
  <si>
    <t>Betting</t>
  </si>
  <si>
    <t>Free £/E0 bet at Amazon</t>
  </si>
  <si>
    <t>Free £/E1 bet at Sky Bet</t>
  </si>
  <si>
    <t>Free £/E2 bet at bet365</t>
  </si>
  <si>
    <t>Free £/E3 bet at paddypower</t>
  </si>
  <si>
    <t>Free £/E4 bet at BETVICTOR</t>
  </si>
  <si>
    <t>Free £/E5 bet at William HILL</t>
  </si>
  <si>
    <t>Free £/E6 bet at betfair</t>
  </si>
  <si>
    <t>Free £/E7 bet at Ladbrokes</t>
  </si>
  <si>
    <t>Free £/E8 bet at StanJames.com</t>
  </si>
  <si>
    <t>Free £/E9 bet at SportsWinner</t>
  </si>
  <si>
    <t>Free £/E10 bet at Boylesports.com</t>
  </si>
  <si>
    <t>Free £/E11 bet at 188BET</t>
  </si>
  <si>
    <t>Free £/E12 bet at sportingbet</t>
  </si>
  <si>
    <t>Free £/E13 bet at 10Bet</t>
  </si>
  <si>
    <t>Free £/E14 bet at BETFRED.com</t>
  </si>
  <si>
    <t>Free £/E15 bet at totesport</t>
  </si>
  <si>
    <t>Free £/E16 bet at SPORTINGINDEX</t>
  </si>
  <si>
    <t>Free £/E17 bet at UNIBET</t>
  </si>
  <si>
    <t>Free £/E18 bet at bwin</t>
  </si>
  <si>
    <t>Free £/E19 bet at ano</t>
  </si>
  <si>
    <t>Poker</t>
  </si>
  <si>
    <t>Casino</t>
  </si>
  <si>
    <t>Bingo</t>
  </si>
  <si>
    <t>TV : Sky, Virgin, BT</t>
  </si>
  <si>
    <t>Shopping : Amazon</t>
  </si>
  <si>
    <t>days</t>
  </si>
  <si>
    <t>hours</t>
  </si>
  <si>
    <t>minutes</t>
  </si>
  <si>
    <t>seconds</t>
  </si>
  <si>
    <t>Group A</t>
  </si>
  <si>
    <t>Group B</t>
  </si>
  <si>
    <t>Group C</t>
  </si>
  <si>
    <t>Group D</t>
  </si>
  <si>
    <t>Group E</t>
  </si>
  <si>
    <t>Group F</t>
  </si>
  <si>
    <t>bet365.com</t>
  </si>
  <si>
    <t>http://promo.888.com/888sport/lp/offer/Dollar.php?sr=1056285&amp;flag=0000</t>
  </si>
  <si>
    <t>Get $88 in free bets at 888.com now</t>
  </si>
  <si>
    <t>http://imstore.bet365affiliates.com/Tracker.aspx?AffiliateId=64834&amp;AffiliateCode=365_235613&amp;CID=198&amp;DID=27&amp;TID=1&amp;PID=149&amp;LNG=1</t>
  </si>
  <si>
    <t>https://sports.bwin.com/en/sports?wm=4128472&amp;zoneId=1570108</t>
  </si>
  <si>
    <t>888.com</t>
  </si>
  <si>
    <t>bwin.com</t>
  </si>
  <si>
    <t>Free $20 bet at bwin.com available</t>
  </si>
  <si>
    <t>$20 in free bets at bet365.com with no deposit</t>
  </si>
  <si>
    <t>http://www.888poker.com/promotions?sr=1056285&amp;flag=0000</t>
  </si>
  <si>
    <t>http://imstore.bet365affiliates.com/Tracker.aspx?AffiliateId=64834&amp;AffiliateCode=365_235613&amp;CID=376&amp;DID=27&amp;TID=1&amp;PID=148&amp;LNG=1</t>
  </si>
  <si>
    <t>https://poker.bwin.com/en/poker/download?wm=4122331&amp;zoneId=1570104</t>
  </si>
  <si>
    <t>Play Poker at bwin pokerwith $10 free</t>
  </si>
  <si>
    <t>$5 free with no deposit at bet365 poker</t>
  </si>
  <si>
    <t>888poker offer $12 free with no deposit</t>
  </si>
  <si>
    <t>bet370</t>
  </si>
  <si>
    <t>bet371</t>
  </si>
  <si>
    <t>https://poker.bwin.com/en/poker/download?wm=4122331&amp;zoneId=1570110</t>
  </si>
  <si>
    <t>bet372</t>
  </si>
  <si>
    <t>https://poker.bwin.com/en/poker/download?wm=4122331&amp;zoneId=1570111</t>
  </si>
  <si>
    <t>bet373</t>
  </si>
  <si>
    <t>https://poker.bwin.com/en/poker/download?wm=4122331&amp;zoneId=1570112</t>
  </si>
  <si>
    <t>bet374</t>
  </si>
  <si>
    <t>https://poker.bwin.com/en/poker/download?wm=4122331&amp;zoneId=1570113</t>
  </si>
  <si>
    <t>bet375</t>
  </si>
  <si>
    <t>https://poker.bwin.com/en/poker/download?wm=4122331&amp;zoneId=1570114</t>
  </si>
  <si>
    <t>bet376</t>
  </si>
  <si>
    <t>https://poker.bwin.com/en/poker/download?wm=4122331&amp;zoneId=1570115</t>
  </si>
  <si>
    <t>bet377</t>
  </si>
  <si>
    <t>https://poker.bwin.com/en/poker/download?wm=4122331&amp;zoneId=1570116</t>
  </si>
  <si>
    <t>bet378</t>
  </si>
  <si>
    <t>https://poker.bwin.com/en/poker/download?wm=4122331&amp;zoneId=1570117</t>
  </si>
  <si>
    <t>bet379</t>
  </si>
  <si>
    <t>https://poker.bwin.com/en/poker/download?wm=4122331&amp;zoneId=1570118</t>
  </si>
  <si>
    <t>bet380</t>
  </si>
  <si>
    <t>https://poker.bwin.com/en/poker/download?wm=4122331&amp;zoneId=1570119</t>
  </si>
  <si>
    <t>bet381</t>
  </si>
  <si>
    <t>https://poker.bwin.com/en/poker/download?wm=4122331&amp;zoneId=1570120</t>
  </si>
  <si>
    <t>bet382</t>
  </si>
  <si>
    <t>https://poker.bwin.com/en/poker/download?wm=4122331&amp;zoneId=1570121</t>
  </si>
  <si>
    <t>https://sports.bwin.com/en/sports?wm=4128472&amp;zoneId=1570114</t>
  </si>
  <si>
    <t>https://sports.bwin.com/en/sports?wm=4128472&amp;zoneId=1570115</t>
  </si>
  <si>
    <t>https://sports.bwin.com/en/sports?wm=4128472&amp;zoneId=1570116</t>
  </si>
  <si>
    <t>https://sports.bwin.com/en/sports?wm=4128472&amp;zoneId=1570117</t>
  </si>
  <si>
    <t>https://sports.bwin.com/en/sports?wm=4128472&amp;zoneId=1570118</t>
  </si>
  <si>
    <t>https://sports.bwin.com/en/sports?wm=4128472&amp;zoneId=1570119</t>
  </si>
  <si>
    <t>https://sports.bwin.com/en/sports?wm=4128472&amp;zoneId=1570120</t>
  </si>
  <si>
    <t>https://sports.bwin.com/en/sports?wm=4128472&amp;zoneId=1570121</t>
  </si>
  <si>
    <t>https://sports.bwin.com/en/sports?wm=4128472&amp;zoneId=1570122</t>
  </si>
  <si>
    <t>https://sports.bwin.com/en/sports?wm=4128472&amp;zoneId=1570123</t>
  </si>
  <si>
    <t>https://sports.bwin.com/en/sports?wm=4128472&amp;zoneId=1570124</t>
  </si>
  <si>
    <t>https://sports.bwin.com/en/sports?wm=4128472&amp;zoneId=1570125</t>
  </si>
  <si>
    <t>http://www.888casino.com/affiliates/knights-and-maidens.htm?sr=1056285&amp;flag=0000</t>
  </si>
  <si>
    <t>Get 80 free spins at 888casino</t>
  </si>
  <si>
    <t>http://imstore.bet365affiliates.com/Tracker.aspx?AffiliateId=64834&amp;AffiliateCode=365_235613&amp;CID=405&amp;DID=27&amp;TID=1&amp;PID=74&amp;LNG=1</t>
  </si>
  <si>
    <t>$150 opening offer at bet365 casino</t>
  </si>
  <si>
    <t>http://www.partycasino.com?wm=4128477&amp;zoneId=1570111</t>
  </si>
  <si>
    <t>Get up to $750 free at Party Casino now</t>
  </si>
  <si>
    <t>http://www.partycasino.com?wm=4128477&amp;zoneId=1570116</t>
  </si>
  <si>
    <t>http://www.partycasino.com?wm=4128477&amp;zoneId=1570117</t>
  </si>
  <si>
    <t>http://www.partycasino.com?wm=4128477&amp;zoneId=1570118</t>
  </si>
  <si>
    <t>http://www.partycasino.com?wm=4128477&amp;zoneId=1570119</t>
  </si>
  <si>
    <t>http://www.partycasino.com?wm=4128477&amp;zoneId=1570120</t>
  </si>
  <si>
    <t>http://www.partycasino.com?wm=4128477&amp;zoneId=1570121</t>
  </si>
  <si>
    <t>http://www.partycasino.com?wm=4128477&amp;zoneId=1570122</t>
  </si>
  <si>
    <t>http://www.partycasino.com?wm=4128477&amp;zoneId=1570123</t>
  </si>
  <si>
    <t>http://www.partycasino.com?wm=4128477&amp;zoneId=1570124</t>
  </si>
  <si>
    <t>http://www.partycasino.com?wm=4128477&amp;zoneId=1570125</t>
  </si>
  <si>
    <t>http://www.partycasino.com?wm=4128477&amp;zoneId=1570126</t>
  </si>
  <si>
    <t>http://www.partycasino.com?wm=4128477&amp;zoneId=1570127</t>
  </si>
  <si>
    <t>http://www.partycasino.com?wm=4128477&amp;zoneId=1570128</t>
  </si>
  <si>
    <t>Play Poker at bwin Poker with $10 free</t>
  </si>
  <si>
    <r>
      <t xml:space="preserve">GMT+5 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/</t>
    </r>
    <r>
      <rPr>
        <vertAlign val="subscript"/>
        <sz val="11"/>
        <rFont val="Calibri"/>
        <family val="2"/>
        <scheme val="minor"/>
      </rPr>
      <t>2</t>
    </r>
  </si>
  <si>
    <r>
      <t xml:space="preserve">GMT-5 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/</t>
    </r>
    <r>
      <rPr>
        <vertAlign val="subscript"/>
        <sz val="11"/>
        <rFont val="Calibri"/>
        <family val="2"/>
        <scheme val="minor"/>
      </rPr>
      <t>2</t>
    </r>
  </si>
  <si>
    <t>http://partners.commission.bz/processing/clickthrgh.asp?btag=a_36697b_4</t>
  </si>
  <si>
    <t>BetOnline</t>
  </si>
  <si>
    <t>http://partners.commission.bz/processing/clickthrgh.asp?btag=a_36697b_895</t>
  </si>
  <si>
    <t>Betonline</t>
  </si>
  <si>
    <t>Play USA Poker at BetOnline now</t>
  </si>
  <si>
    <t>Risk free USA Poker at BetOnline</t>
  </si>
  <si>
    <t>USA - 200% bonus at BetOnline Poker</t>
  </si>
  <si>
    <t>USA $1000 in freeplays at BetOnline</t>
  </si>
  <si>
    <t>USA : Live Betting $25 Free Play</t>
  </si>
  <si>
    <t>USA : $25 Risk-Free Bet</t>
  </si>
  <si>
    <t>http://partners.commission.bz/processing/clickthrgh.asp?btag=a_36697b_852</t>
  </si>
  <si>
    <t>http://partners.commission.bz/processing/clickthrgh.asp?btag=a_36697b_1318</t>
  </si>
  <si>
    <t>USA Online Casino Experience now</t>
  </si>
  <si>
    <t>http://partners.commission.bz/processing/clickthrgh.asp?btag=a_36697b_884</t>
  </si>
  <si>
    <t>USA Casino Slots $5000 match bonus</t>
  </si>
  <si>
    <t>USA Play skills games for real $$$</t>
  </si>
  <si>
    <t>http://partners.commission.bz/processing/clickthrgh.asp?btag=a_36697b_1288</t>
  </si>
  <si>
    <t>Lowvig</t>
  </si>
  <si>
    <t>Low Vig Casino for US &amp; worldwide players</t>
  </si>
  <si>
    <t>Low Vig</t>
  </si>
  <si>
    <t>http://partners.commission.bz/processing/clickthrgh.asp?btag=a_36697b</t>
  </si>
  <si>
    <t>Low Vig Poker for US &amp; worldwide players</t>
  </si>
  <si>
    <t>http://partners.commission.bz/processing/clickthrgh.asp?btag=a_36697b_1078</t>
  </si>
  <si>
    <t>Sportsbetting</t>
  </si>
  <si>
    <t>Play Texas Holdem now USA and worldwide</t>
  </si>
  <si>
    <t>http://partners.commission.bz/processing/clickthrgh.asp?btag=a_36697b_1270</t>
  </si>
  <si>
    <t>Low Vig Betting offers here</t>
  </si>
  <si>
    <t>http://partners.commission.bz/processing/clickthrgh.asp?btag=a_36697b_1295</t>
  </si>
  <si>
    <t>SportsBetting offers for US and worldwide</t>
  </si>
  <si>
    <t>UX Stade de Bordeaux</t>
  </si>
  <si>
    <t>LENS AGGLO Stade Bollaert-Delelis</t>
  </si>
  <si>
    <t>LILLE MÉTROPOLE Stade Pierre Mauroy</t>
  </si>
  <si>
    <t>LYON Stade de Lyon</t>
  </si>
  <si>
    <t>MARSEILLE Stade Vélodrome</t>
  </si>
  <si>
    <t>NICE Stade de Nice</t>
  </si>
  <si>
    <t>PARIS Parc des Princes</t>
  </si>
  <si>
    <t>SAINT-DENIS Stade de France</t>
  </si>
  <si>
    <t>SAINT-ÉTIENNE Stade Geoffroy Guichard</t>
  </si>
  <si>
    <t>TOULOUSE Stadium de Toulouse</t>
  </si>
  <si>
    <t>French Time</t>
  </si>
  <si>
    <t>Team A1</t>
  </si>
  <si>
    <t>Team B4</t>
  </si>
  <si>
    <t>Team C1</t>
  </si>
  <si>
    <t>Team D1</t>
  </si>
  <si>
    <t>a Points</t>
  </si>
  <si>
    <t>b Goal Difference</t>
  </si>
  <si>
    <t>c Goals Scored</t>
  </si>
  <si>
    <t>Ref</t>
  </si>
  <si>
    <t>Time Difference to tournament time</t>
  </si>
  <si>
    <t>Tournament time difference to GMT</t>
  </si>
  <si>
    <t>Add on for wallchart tournament time</t>
  </si>
  <si>
    <t>Wallchart GMT List</t>
  </si>
  <si>
    <t>Time to go before tournament</t>
  </si>
  <si>
    <t>Rank</t>
  </si>
  <si>
    <t>3rdplacepoints</t>
  </si>
  <si>
    <t>3B/E/F</t>
  </si>
  <si>
    <t>3A/C/D</t>
  </si>
  <si>
    <t>3A/B/F</t>
  </si>
  <si>
    <t>3C/D/E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</si>
  <si>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</si>
  <si>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</si>
  <si>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</si>
  <si>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</si>
  <si>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</si>
  <si>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</si>
  <si>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</si>
  <si>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</si>
  <si>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</si>
  <si>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</si>
  <si>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</si>
  <si>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</si>
  <si>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</si>
  <si>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</si>
  <si>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</si>
  <si>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3rd Place A, B or F</t>
  </si>
  <si>
    <t>3rd Place A, C or D</t>
  </si>
  <si>
    <t>3rd Place B, E or F</t>
  </si>
  <si>
    <t>3rd Place C, D or E</t>
  </si>
  <si>
    <t>France</t>
  </si>
  <si>
    <t>Match 2</t>
  </si>
  <si>
    <t>Match 3</t>
  </si>
  <si>
    <t>Match 4</t>
  </si>
  <si>
    <t>Match 5</t>
  </si>
  <si>
    <t>Match 6</t>
  </si>
  <si>
    <t>Match 7</t>
  </si>
  <si>
    <t>Match 8</t>
  </si>
  <si>
    <t>Match 37</t>
  </si>
  <si>
    <t>Match 38</t>
  </si>
  <si>
    <t>Match 39</t>
  </si>
  <si>
    <t>Match 40</t>
  </si>
  <si>
    <t>Match 41</t>
  </si>
  <si>
    <t>Match 42</t>
  </si>
  <si>
    <t>Match 43</t>
  </si>
  <si>
    <t>Match 44</t>
  </si>
  <si>
    <t>Match 45</t>
  </si>
  <si>
    <t>Match 46</t>
  </si>
  <si>
    <t>Match 47</t>
  </si>
  <si>
    <t>Match 48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</si>
  <si>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</si>
  <si>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</si>
  <si>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</si>
  <si>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</si>
  <si>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</si>
  <si>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</si>
  <si>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</si>
  <si>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</si>
  <si>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Match 17</t>
  </si>
  <si>
    <t>Match 18</t>
  </si>
  <si>
    <t>Match 19</t>
  </si>
  <si>
    <t>Match 20</t>
  </si>
  <si>
    <t>Match 21</t>
  </si>
  <si>
    <t>Match 22</t>
  </si>
  <si>
    <t>Match 23</t>
  </si>
  <si>
    <t>Match 24</t>
  </si>
  <si>
    <t>Match 25</t>
  </si>
  <si>
    <t>Match 26</t>
  </si>
  <si>
    <t>Match 27</t>
  </si>
  <si>
    <t>Match 28</t>
  </si>
  <si>
    <t>Match 29</t>
  </si>
  <si>
    <t>Match 30</t>
  </si>
  <si>
    <t>Match 31</t>
  </si>
  <si>
    <t>Match 32</t>
  </si>
  <si>
    <t>Match 33</t>
  </si>
  <si>
    <t>Match 34</t>
  </si>
  <si>
    <t>Match 35</t>
  </si>
  <si>
    <t>Match 36</t>
  </si>
  <si>
    <t>Winner Match 37</t>
  </si>
  <si>
    <t>Winner Match 38</t>
  </si>
  <si>
    <t>Winner Match 39</t>
  </si>
  <si>
    <t>Winner Match 40</t>
  </si>
  <si>
    <t>Winner Match 41</t>
  </si>
  <si>
    <t>Winner Match 42</t>
  </si>
  <si>
    <t>Winner Match 43</t>
  </si>
  <si>
    <t>Winner Match 44</t>
  </si>
  <si>
    <t>Winner Match 45</t>
  </si>
  <si>
    <t>Winner Match 46</t>
  </si>
  <si>
    <t>Winner Match 47</t>
  </si>
  <si>
    <t>Winner Match 48</t>
  </si>
  <si>
    <t>Winner Match 50.5</t>
  </si>
  <si>
    <t>Loser Match 51</t>
  </si>
  <si>
    <t>Tournament</t>
  </si>
  <si>
    <t>Black and White</t>
  </si>
  <si>
    <t>Germany</t>
  </si>
  <si>
    <t>Italy</t>
  </si>
  <si>
    <t>Spain</t>
  </si>
  <si>
    <t>England</t>
  </si>
  <si>
    <t>Wales</t>
  </si>
  <si>
    <t>Netherlands</t>
  </si>
  <si>
    <t>UEFA EURO 2016 FRANCE</t>
  </si>
  <si>
    <t>Office 365 goes where you go, on all your devices. Now on iPad and Android Tablets</t>
  </si>
  <si>
    <t>Ukraine</t>
  </si>
  <si>
    <t>Sweden</t>
  </si>
  <si>
    <t>Slovenia</t>
  </si>
  <si>
    <t>Norway</t>
  </si>
  <si>
    <t>Hungary</t>
  </si>
  <si>
    <t>Denmark</t>
  </si>
  <si>
    <t>Bosnia and Herzegovina</t>
  </si>
  <si>
    <t>Republic of Ireland</t>
  </si>
  <si>
    <t>Czech Republic</t>
  </si>
  <si>
    <t>Iceland</t>
  </si>
  <si>
    <t>Austria</t>
  </si>
  <si>
    <t>Northen Ireland</t>
  </si>
  <si>
    <t>Portugal</t>
  </si>
  <si>
    <t>Switzerland</t>
  </si>
  <si>
    <t>Belgium</t>
  </si>
  <si>
    <t>Romania</t>
  </si>
  <si>
    <t>Albania</t>
  </si>
  <si>
    <t>Poland</t>
  </si>
  <si>
    <t>Russia</t>
  </si>
  <si>
    <t>Croatia</t>
  </si>
  <si>
    <t>Turkey</t>
  </si>
  <si>
    <t>Slovakia</t>
  </si>
  <si>
    <t>USA</t>
  </si>
  <si>
    <t>Australia</t>
  </si>
  <si>
    <t>Brasil</t>
  </si>
  <si>
    <t>Argentina</t>
  </si>
  <si>
    <t>Colombia</t>
  </si>
  <si>
    <t>Chile</t>
  </si>
  <si>
    <t>Algeria</t>
  </si>
  <si>
    <t>Uruguay</t>
  </si>
  <si>
    <t>Côte d'Ivoire</t>
  </si>
  <si>
    <t>Mexico</t>
  </si>
  <si>
    <t>Canada</t>
  </si>
  <si>
    <t>Scotland</t>
  </si>
  <si>
    <t>USA (EST)</t>
  </si>
  <si>
    <t>USA (CST)</t>
  </si>
  <si>
    <t>USA (MST)</t>
  </si>
  <si>
    <t>USA (PST)</t>
  </si>
  <si>
    <t>USA (HST)</t>
  </si>
  <si>
    <t>Canada (EST)</t>
  </si>
  <si>
    <t>Canada (CST)</t>
  </si>
  <si>
    <t>Canada (MST)</t>
  </si>
  <si>
    <t>Canada (PST)</t>
  </si>
  <si>
    <t>Canada (HST)</t>
  </si>
  <si>
    <t>Country</t>
  </si>
  <si>
    <t>Add for</t>
  </si>
  <si>
    <t>Office 365</t>
  </si>
  <si>
    <t>Text2</t>
  </si>
  <si>
    <t>Text1</t>
  </si>
  <si>
    <t>tbc</t>
  </si>
  <si>
    <t>https://clkuk.tradedoubler.com/click?p=263915&amp;a=2776874&amp;g=22739532</t>
  </si>
  <si>
    <t>Xbox</t>
  </si>
  <si>
    <t>Surface</t>
  </si>
  <si>
    <t>Groove</t>
  </si>
  <si>
    <t>Contact: soccerwallcharts@gmail.com</t>
  </si>
  <si>
    <t>https://clkuk.tradedoubler.com/click?p=263915&amp;a=2776874&amp;g=22739520</t>
  </si>
  <si>
    <t>https://clkuk.tradedoubler.com/click?p=263915&amp;a=2776874&amp;g=22739514</t>
  </si>
  <si>
    <t>Take it with you | Euro 2016 Predictor App | Google Play | App Store</t>
  </si>
  <si>
    <t xml:space="preserve"> EURO 2016 Predictor
 available in 3 versions 
                Lite
           Standard
             Ad free</t>
  </si>
  <si>
    <t>Download the soccerwallcharts.com UEFA Euro 2016 Predictor app from Google Play and the App Store</t>
  </si>
  <si>
    <t>Get it on 
Google Play</t>
  </si>
  <si>
    <t xml:space="preserve"> EURO 2016 Predictor
 available in 3 versions 
 Lite | Standard | Ad free
Search "soccerwallcharts"</t>
  </si>
  <si>
    <t>Google Play
Predict the scores, groups and finalists on the go
Get the app now
App Store</t>
  </si>
  <si>
    <t>www.soccerwallcharts.com/get-the-app.html</t>
  </si>
  <si>
    <t>App adverts added along with links etc</t>
  </si>
  <si>
    <t>to do</t>
  </si>
  <si>
    <t>sellable customisable xls</t>
  </si>
  <si>
    <t>3rd Place League</t>
  </si>
  <si>
    <t>Change log added
Fix date and time row 12
Hide MSAddx tabs
Conditional formatting worked on
Set scheme limited to tournament and black and white only</t>
  </si>
  <si>
    <t xml:space="preserve">My Local Time  </t>
  </si>
  <si>
    <t xml:space="preserve">Set My Location:  </t>
  </si>
  <si>
    <t xml:space="preserve">Time in France  </t>
  </si>
  <si>
    <t xml:space="preserve">Set Scheme:  </t>
  </si>
  <si>
    <t>Rep Ireland</t>
  </si>
  <si>
    <t>Czech Rep</t>
  </si>
  <si>
    <t>N Ireland</t>
  </si>
  <si>
    <t>Slovenia/Ukraine</t>
  </si>
  <si>
    <t>Sweden/Denmark</t>
  </si>
  <si>
    <t>Correct 3rd place table
protect wallchart q
Correct colour of row 76
box around row 11/12
Unprotect scheme cell
correct j67
fill row 49 with white
Correct screen tip for swc in b2
Temp Team names added</t>
  </si>
  <si>
    <t>Sample word art added</t>
  </si>
  <si>
    <t>Word art removed</t>
  </si>
  <si>
    <t>Scores removed</t>
  </si>
  <si>
    <t>Real teams added</t>
  </si>
  <si>
    <t>Office 2016 is here
Get it in Office 365</t>
  </si>
  <si>
    <t>Xbox with 1TB of Storage
Enjoy More Gaming &amp; More Entertainment</t>
  </si>
  <si>
    <r>
      <rPr>
        <sz val="18"/>
        <color theme="0"/>
        <rFont val="Calibri"/>
        <family val="2"/>
        <scheme val="minor"/>
      </rPr>
      <t>Buy us a beer</t>
    </r>
    <r>
      <rPr>
        <sz val="11"/>
        <color theme="0"/>
        <rFont val="Calibri"/>
        <family val="2"/>
        <scheme val="minor"/>
      </rPr>
      <t xml:space="preserve">
If you like what you see please help us keep www.soccerwallcharts.com up and running by buying us a beer. Your donations big or small are much appreciated. Just click the button. Thanks.</t>
    </r>
  </si>
  <si>
    <t>GET THE EURO 2016 APP FOR FREE BY CLICKING HERE</t>
  </si>
  <si>
    <t>UEFA Euro 2016 Winner:</t>
  </si>
  <si>
    <r>
      <t xml:space="preserve">Get the </t>
    </r>
    <r>
      <rPr>
        <b/>
        <sz val="18"/>
        <color rgb="FFFF0000"/>
        <rFont val="Calibri"/>
        <family val="2"/>
        <scheme val="minor"/>
      </rPr>
      <t xml:space="preserve">FREE </t>
    </r>
    <r>
      <rPr>
        <b/>
        <sz val="18"/>
        <color theme="8" tint="-0.499984740745262"/>
        <rFont val="Calibri"/>
        <family val="2"/>
        <scheme val="minor"/>
      </rPr>
      <t>soccerwallcharts UEFA EURO 2016 app by clicking here</t>
    </r>
  </si>
  <si>
    <r>
      <rPr>
        <sz val="16"/>
        <color theme="7" tint="0.39997558519241921"/>
        <rFont val="Calibri Light"/>
        <family val="2"/>
        <scheme val="major"/>
      </rPr>
      <t>Groove Music Pass</t>
    </r>
    <r>
      <rPr>
        <sz val="16"/>
        <color theme="0"/>
        <rFont val="Calibri Light"/>
        <family val="2"/>
        <scheme val="major"/>
      </rPr>
      <t xml:space="preserve">  |  Love Music?  |  Get a free 30-day trial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</si>
</sst>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\ hh:mm"/>
    <numFmt numFmtId="166" formatCode="ddd\ d\ mmm\ hh:mm"/>
  </numFmts>
  <fonts count="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  <charset val="204"/>
    </font>
    <font>
      <b/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36"/>
      <color rgb="FFFF0000"/>
      <name val="Prisoner SF"/>
    </font>
    <font>
      <sz val="14"/>
      <color theme="0"/>
      <name val="Calibri"/>
      <family val="2"/>
      <scheme val="minor"/>
    </font>
    <font>
      <sz val="14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6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b/>
      <sz val="18"/>
      <color rgb="FFFF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6"/>
      <color theme="7" tint="0.39997558519241921"/>
      <name val="Calibri Light"/>
      <family val="2"/>
      <scheme val="major"/>
    </font>
  </fonts>
  <fills count="4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15" fontId="0" fillId="0" borderId="0" xfId="0" applyNumberFormat="1"/>
    <xf numFmtId="20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 textRotation="180"/>
    </xf>
    <xf numFmtId="0" fontId="0" fillId="0" borderId="0" xfId="0" applyFill="1" applyBorder="1" applyAlignment="1">
      <alignment horizontal="center" textRotation="180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3" borderId="0" xfId="0" applyFill="1"/>
    <xf numFmtId="0" fontId="0" fillId="0" borderId="0" xfId="0" applyFill="1"/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Border="1"/>
    <xf numFmtId="0" fontId="0" fillId="3" borderId="7" xfId="0" applyFill="1" applyBorder="1" applyAlignment="1">
      <alignment horizontal="center"/>
    </xf>
    <xf numFmtId="0" fontId="9" fillId="5" borderId="0" xfId="0" applyFont="1" applyFill="1" applyBorder="1"/>
    <xf numFmtId="0" fontId="13" fillId="5" borderId="0" xfId="0" applyFont="1" applyFill="1" applyBorder="1"/>
    <xf numFmtId="165" fontId="13" fillId="5" borderId="0" xfId="0" applyNumberFormat="1" applyFont="1" applyFill="1" applyBorder="1"/>
    <xf numFmtId="0" fontId="5" fillId="5" borderId="0" xfId="1" applyFont="1" applyFill="1" applyBorder="1"/>
    <xf numFmtId="0" fontId="13" fillId="5" borderId="0" xfId="0" applyFont="1" applyFill="1" applyBorder="1" applyAlignment="1">
      <alignment horizontal="right"/>
    </xf>
    <xf numFmtId="1" fontId="13" fillId="5" borderId="0" xfId="0" applyNumberFormat="1" applyFont="1" applyFill="1" applyBorder="1"/>
    <xf numFmtId="0" fontId="13" fillId="5" borderId="0" xfId="0" quotePrefix="1" applyFont="1" applyFill="1" applyBorder="1"/>
    <xf numFmtId="0" fontId="16" fillId="5" borderId="0" xfId="0" applyFont="1" applyFill="1" applyBorder="1"/>
    <xf numFmtId="0" fontId="1" fillId="0" borderId="0" xfId="1"/>
    <xf numFmtId="0" fontId="1" fillId="5" borderId="0" xfId="1" applyFill="1" applyBorder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166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3" borderId="20" xfId="0" applyFont="1" applyFill="1" applyBorder="1" applyAlignment="1" applyProtection="1">
      <alignment horizontal="center"/>
      <protection locked="0" hidden="1"/>
    </xf>
    <xf numFmtId="0" fontId="7" fillId="3" borderId="19" xfId="0" applyFont="1" applyFill="1" applyBorder="1" applyAlignment="1" applyProtection="1">
      <alignment horizontal="center"/>
      <protection locked="0" hidden="1"/>
    </xf>
    <xf numFmtId="0" fontId="12" fillId="5" borderId="0" xfId="0" applyFont="1" applyFill="1" applyBorder="1" applyAlignment="1" applyProtection="1">
      <alignment horizontal="right"/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protection hidden="1"/>
    </xf>
    <xf numFmtId="0" fontId="4" fillId="4" borderId="14" xfId="0" applyFont="1" applyFill="1" applyBorder="1" applyAlignment="1" applyProtection="1">
      <protection hidden="1"/>
    </xf>
    <xf numFmtId="0" fontId="0" fillId="0" borderId="4" xfId="0" applyFont="1" applyBorder="1" applyAlignment="1" applyProtection="1">
      <alignment horizontal="center"/>
      <protection hidden="1"/>
    </xf>
    <xf numFmtId="166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6" fontId="9" fillId="4" borderId="14" xfId="0" applyNumberFormat="1" applyFont="1" applyFill="1" applyBorder="1" applyAlignment="1" applyProtection="1">
      <protection hidden="1"/>
    </xf>
    <xf numFmtId="0" fontId="9" fillId="4" borderId="14" xfId="0" applyFont="1" applyFill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0" fillId="5" borderId="0" xfId="0" applyFill="1" applyProtection="1">
      <protection hidden="1"/>
    </xf>
    <xf numFmtId="0" fontId="4" fillId="5" borderId="0" xfId="1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/>
      <protection locked="0" hidden="1"/>
    </xf>
    <xf numFmtId="0" fontId="8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4" fillId="5" borderId="0" xfId="1" applyFont="1" applyFill="1" applyBorder="1" applyAlignment="1" applyProtection="1">
      <alignment wrapText="1"/>
      <protection hidden="1"/>
    </xf>
    <xf numFmtId="0" fontId="13" fillId="5" borderId="13" xfId="0" applyFont="1" applyFill="1" applyBorder="1"/>
    <xf numFmtId="0" fontId="0" fillId="0" borderId="15" xfId="0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0" xfId="0" applyFill="1"/>
    <xf numFmtId="164" fontId="0" fillId="6" borderId="0" xfId="0" applyNumberFormat="1" applyFill="1"/>
    <xf numFmtId="15" fontId="0" fillId="6" borderId="0" xfId="0" applyNumberFormat="1" applyFill="1"/>
    <xf numFmtId="20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15" fontId="0" fillId="7" borderId="0" xfId="0" applyNumberFormat="1" applyFill="1"/>
    <xf numFmtId="20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15" fontId="0" fillId="8" borderId="0" xfId="0" applyNumberFormat="1" applyFill="1"/>
    <xf numFmtId="20" fontId="0" fillId="8" borderId="0" xfId="0" applyNumberFormat="1" applyFill="1"/>
    <xf numFmtId="0" fontId="0" fillId="0" borderId="0" xfId="0" applyFill="1" applyBorder="1"/>
    <xf numFmtId="0" fontId="17" fillId="0" borderId="0" xfId="0" applyFont="1" applyBorder="1"/>
    <xf numFmtId="0" fontId="0" fillId="0" borderId="0" xfId="0" applyFont="1" applyFill="1" applyBorder="1"/>
    <xf numFmtId="0" fontId="9" fillId="9" borderId="0" xfId="0" applyFont="1" applyFill="1"/>
    <xf numFmtId="164" fontId="9" fillId="9" borderId="0" xfId="0" applyNumberFormat="1" applyFont="1" applyFill="1"/>
    <xf numFmtId="15" fontId="9" fillId="9" borderId="0" xfId="0" applyNumberFormat="1" applyFont="1" applyFill="1"/>
    <xf numFmtId="20" fontId="9" fillId="9" borderId="0" xfId="0" applyNumberFormat="1" applyFont="1" applyFill="1"/>
    <xf numFmtId="0" fontId="9" fillId="10" borderId="0" xfId="0" applyFont="1" applyFill="1"/>
    <xf numFmtId="164" fontId="9" fillId="10" borderId="0" xfId="0" applyNumberFormat="1" applyFont="1" applyFill="1"/>
    <xf numFmtId="15" fontId="9" fillId="10" borderId="0" xfId="0" applyNumberFormat="1" applyFont="1" applyFill="1"/>
    <xf numFmtId="20" fontId="9" fillId="10" borderId="0" xfId="0" applyNumberFormat="1" applyFont="1" applyFill="1"/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Protection="1"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9" xfId="0" applyFont="1" applyFill="1" applyBorder="1" applyAlignment="1" applyProtection="1">
      <protection hidden="1"/>
    </xf>
    <xf numFmtId="0" fontId="0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18" fillId="5" borderId="14" xfId="1" applyFont="1" applyFill="1" applyBorder="1" applyAlignment="1" applyProtection="1">
      <alignment horizontal="center"/>
      <protection hidden="1"/>
    </xf>
    <xf numFmtId="0" fontId="18" fillId="5" borderId="3" xfId="1" applyFont="1" applyFill="1" applyBorder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0" fontId="0" fillId="5" borderId="0" xfId="0" applyFont="1" applyFill="1" applyProtection="1"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5" borderId="4" xfId="0" applyFont="1" applyFill="1" applyBorder="1" applyProtection="1">
      <protection hidden="1"/>
    </xf>
    <xf numFmtId="0" fontId="0" fillId="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5" borderId="5" xfId="0" applyFont="1" applyFill="1" applyBorder="1" applyProtection="1">
      <protection hidden="1"/>
    </xf>
    <xf numFmtId="0" fontId="19" fillId="5" borderId="0" xfId="0" applyFont="1" applyFill="1" applyBorder="1" applyAlignment="1" applyProtection="1">
      <alignment horizontal="right"/>
      <protection hidden="1"/>
    </xf>
    <xf numFmtId="0" fontId="12" fillId="4" borderId="3" xfId="1" applyFont="1" applyFill="1" applyBorder="1" applyAlignment="1" applyProtection="1">
      <alignment horizontal="center" vertical="center"/>
      <protection hidden="1"/>
    </xf>
    <xf numFmtId="0" fontId="12" fillId="4" borderId="0" xfId="1" applyFont="1" applyFill="1" applyBorder="1" applyAlignment="1" applyProtection="1">
      <alignment horizontal="center" vertical="center"/>
      <protection hidden="1"/>
    </xf>
    <xf numFmtId="0" fontId="12" fillId="4" borderId="6" xfId="1" applyFont="1" applyFill="1" applyBorder="1" applyAlignment="1" applyProtection="1">
      <alignment horizontal="center" vertical="center"/>
      <protection hidden="1"/>
    </xf>
    <xf numFmtId="0" fontId="20" fillId="0" borderId="0" xfId="1" applyFont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0" fillId="15" borderId="0" xfId="0" applyFont="1" applyFill="1" applyBorder="1" applyAlignment="1" applyProtection="1">
      <alignment horizontal="center"/>
      <protection hidden="1"/>
    </xf>
    <xf numFmtId="0" fontId="20" fillId="15" borderId="10" xfId="0" applyFont="1" applyFill="1" applyBorder="1" applyAlignment="1" applyProtection="1">
      <alignment horizontal="center"/>
      <protection hidden="1"/>
    </xf>
    <xf numFmtId="0" fontId="21" fillId="19" borderId="0" xfId="0" applyFont="1" applyFill="1" applyBorder="1" applyAlignment="1" applyProtection="1">
      <alignment horizontal="center"/>
      <protection hidden="1"/>
    </xf>
    <xf numFmtId="0" fontId="21" fillId="19" borderId="10" xfId="0" applyFont="1" applyFill="1" applyBorder="1" applyAlignment="1" applyProtection="1">
      <alignment horizontal="center"/>
      <protection hidden="1"/>
    </xf>
    <xf numFmtId="0" fontId="20" fillId="18" borderId="0" xfId="0" applyFont="1" applyFill="1" applyBorder="1" applyAlignment="1" applyProtection="1">
      <alignment horizontal="center"/>
      <protection hidden="1"/>
    </xf>
    <xf numFmtId="0" fontId="20" fillId="18" borderId="10" xfId="0" applyFont="1" applyFill="1" applyBorder="1" applyAlignment="1" applyProtection="1">
      <alignment horizontal="center"/>
      <protection hidden="1"/>
    </xf>
    <xf numFmtId="0" fontId="20" fillId="19" borderId="0" xfId="0" applyFont="1" applyFill="1" applyBorder="1" applyAlignment="1" applyProtection="1">
      <alignment horizontal="center"/>
      <protection hidden="1"/>
    </xf>
    <xf numFmtId="0" fontId="20" fillId="19" borderId="10" xfId="0" applyFont="1" applyFill="1" applyBorder="1" applyAlignment="1" applyProtection="1">
      <alignment horizontal="center"/>
      <protection hidden="1"/>
    </xf>
    <xf numFmtId="0" fontId="0" fillId="15" borderId="6" xfId="0" applyFont="1" applyFill="1" applyBorder="1" applyAlignment="1" applyProtection="1">
      <alignment horizontal="center"/>
      <protection hidden="1"/>
    </xf>
    <xf numFmtId="0" fontId="0" fillId="15" borderId="11" xfId="0" applyFont="1" applyFill="1" applyBorder="1" applyAlignment="1" applyProtection="1">
      <alignment horizontal="center"/>
      <protection hidden="1"/>
    </xf>
    <xf numFmtId="0" fontId="4" fillId="25" borderId="3" xfId="0" applyFont="1" applyFill="1" applyBorder="1" applyAlignment="1" applyProtection="1">
      <protection hidden="1"/>
    </xf>
    <xf numFmtId="0" fontId="4" fillId="25" borderId="9" xfId="0" applyFont="1" applyFill="1" applyBorder="1" applyAlignment="1" applyProtection="1">
      <protection hidden="1"/>
    </xf>
    <xf numFmtId="0" fontId="20" fillId="23" borderId="0" xfId="0" applyFont="1" applyFill="1" applyBorder="1" applyAlignment="1" applyProtection="1">
      <alignment horizontal="center"/>
      <protection hidden="1"/>
    </xf>
    <xf numFmtId="0" fontId="20" fillId="23" borderId="10" xfId="0" applyFont="1" applyFill="1" applyBorder="1" applyAlignment="1" applyProtection="1">
      <alignment horizontal="center"/>
      <protection hidden="1"/>
    </xf>
    <xf numFmtId="0" fontId="20" fillId="17" borderId="6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4" fillId="29" borderId="14" xfId="0" applyFont="1" applyFill="1" applyBorder="1" applyAlignment="1" applyProtection="1">
      <alignment horizontal="center"/>
      <protection hidden="1"/>
    </xf>
    <xf numFmtId="0" fontId="4" fillId="29" borderId="15" xfId="0" applyFont="1" applyFill="1" applyBorder="1" applyAlignment="1" applyProtection="1">
      <alignment horizontal="center"/>
      <protection hidden="1"/>
    </xf>
    <xf numFmtId="0" fontId="20" fillId="28" borderId="0" xfId="0" applyFont="1" applyFill="1" applyBorder="1" applyAlignment="1" applyProtection="1">
      <alignment horizontal="center"/>
      <protection hidden="1"/>
    </xf>
    <xf numFmtId="0" fontId="20" fillId="28" borderId="10" xfId="0" applyFont="1" applyFill="1" applyBorder="1" applyAlignment="1" applyProtection="1">
      <alignment horizontal="center"/>
      <protection hidden="1"/>
    </xf>
    <xf numFmtId="0" fontId="20" fillId="11" borderId="6" xfId="0" applyFont="1" applyFill="1" applyBorder="1" applyAlignment="1" applyProtection="1">
      <alignment horizontal="center"/>
      <protection hidden="1"/>
    </xf>
    <xf numFmtId="0" fontId="20" fillId="11" borderId="11" xfId="0" applyFont="1" applyFill="1" applyBorder="1" applyAlignment="1" applyProtection="1">
      <alignment horizontal="center"/>
      <protection hidden="1"/>
    </xf>
    <xf numFmtId="0" fontId="4" fillId="21" borderId="14" xfId="0" applyFont="1" applyFill="1" applyBorder="1" applyAlignment="1" applyProtection="1">
      <alignment horizontal="center"/>
      <protection hidden="1"/>
    </xf>
    <xf numFmtId="0" fontId="4" fillId="21" borderId="15" xfId="0" applyFont="1" applyFill="1" applyBorder="1" applyAlignment="1" applyProtection="1">
      <alignment horizontal="center"/>
      <protection hidden="1"/>
    </xf>
    <xf numFmtId="0" fontId="21" fillId="31" borderId="0" xfId="0" applyFont="1" applyFill="1" applyBorder="1" applyAlignment="1" applyProtection="1">
      <alignment horizontal="center"/>
      <protection hidden="1"/>
    </xf>
    <xf numFmtId="0" fontId="21" fillId="31" borderId="10" xfId="0" applyFont="1" applyFill="1" applyBorder="1" applyAlignment="1" applyProtection="1">
      <alignment horizontal="center"/>
      <protection hidden="1"/>
    </xf>
    <xf numFmtId="0" fontId="20" fillId="34" borderId="6" xfId="0" applyFont="1" applyFill="1" applyBorder="1" applyAlignment="1" applyProtection="1">
      <alignment horizontal="center"/>
      <protection hidden="1"/>
    </xf>
    <xf numFmtId="0" fontId="20" fillId="34" borderId="11" xfId="0" applyFont="1" applyFill="1" applyBorder="1" applyAlignment="1" applyProtection="1">
      <alignment horizontal="center"/>
      <protection hidden="1"/>
    </xf>
    <xf numFmtId="0" fontId="4" fillId="13" borderId="14" xfId="0" applyFont="1" applyFill="1" applyBorder="1" applyAlignment="1" applyProtection="1">
      <alignment horizontal="center"/>
      <protection hidden="1"/>
    </xf>
    <xf numFmtId="0" fontId="4" fillId="13" borderId="15" xfId="0" applyFont="1" applyFill="1" applyBorder="1" applyAlignment="1" applyProtection="1">
      <alignment horizontal="center"/>
      <protection hidden="1"/>
    </xf>
    <xf numFmtId="0" fontId="21" fillId="32" borderId="0" xfId="0" applyFont="1" applyFill="1" applyBorder="1" applyAlignment="1" applyProtection="1">
      <alignment horizontal="center"/>
      <protection hidden="1"/>
    </xf>
    <xf numFmtId="0" fontId="21" fillId="32" borderId="10" xfId="0" applyFont="1" applyFill="1" applyBorder="1" applyAlignment="1" applyProtection="1">
      <alignment horizontal="center"/>
      <protection hidden="1"/>
    </xf>
    <xf numFmtId="0" fontId="20" fillId="36" borderId="0" xfId="0" applyFont="1" applyFill="1" applyBorder="1" applyAlignment="1" applyProtection="1">
      <alignment horizontal="center"/>
      <protection hidden="1"/>
    </xf>
    <xf numFmtId="0" fontId="20" fillId="36" borderId="10" xfId="0" applyFont="1" applyFill="1" applyBorder="1" applyAlignment="1" applyProtection="1">
      <alignment horizontal="center"/>
      <protection hidden="1"/>
    </xf>
    <xf numFmtId="0" fontId="20" fillId="37" borderId="6" xfId="0" applyFont="1" applyFill="1" applyBorder="1" applyAlignment="1" applyProtection="1">
      <alignment horizontal="center"/>
      <protection hidden="1"/>
    </xf>
    <xf numFmtId="0" fontId="20" fillId="37" borderId="11" xfId="0" applyFont="1" applyFill="1" applyBorder="1" applyAlignment="1" applyProtection="1">
      <alignment horizontal="center"/>
      <protection hidden="1"/>
    </xf>
    <xf numFmtId="0" fontId="20" fillId="38" borderId="0" xfId="0" applyFont="1" applyFill="1" applyBorder="1" applyAlignment="1" applyProtection="1">
      <alignment horizontal="center"/>
      <protection hidden="1"/>
    </xf>
    <xf numFmtId="0" fontId="20" fillId="38" borderId="10" xfId="0" applyFont="1" applyFill="1" applyBorder="1" applyAlignment="1" applyProtection="1">
      <alignment horizontal="center"/>
      <protection hidden="1"/>
    </xf>
    <xf numFmtId="0" fontId="20" fillId="15" borderId="6" xfId="0" applyFont="1" applyFill="1" applyBorder="1" applyAlignment="1" applyProtection="1">
      <alignment horizontal="center"/>
      <protection hidden="1"/>
    </xf>
    <xf numFmtId="0" fontId="20" fillId="15" borderId="11" xfId="0" applyFont="1" applyFill="1" applyBorder="1" applyAlignment="1" applyProtection="1">
      <alignment horizontal="center"/>
      <protection hidden="1"/>
    </xf>
    <xf numFmtId="0" fontId="4" fillId="31" borderId="20" xfId="0" applyFont="1" applyFill="1" applyBorder="1" applyAlignment="1" applyProtection="1">
      <alignment horizontal="center"/>
      <protection locked="0" hidden="1"/>
    </xf>
    <xf numFmtId="0" fontId="4" fillId="31" borderId="19" xfId="0" applyFont="1" applyFill="1" applyBorder="1" applyAlignment="1" applyProtection="1">
      <alignment horizontal="center"/>
      <protection locked="0" hidden="1"/>
    </xf>
    <xf numFmtId="0" fontId="4" fillId="39" borderId="14" xfId="0" applyFont="1" applyFill="1" applyBorder="1" applyAlignment="1" applyProtection="1">
      <alignment horizontal="center"/>
      <protection hidden="1"/>
    </xf>
    <xf numFmtId="0" fontId="4" fillId="39" borderId="15" xfId="0" applyFont="1" applyFill="1" applyBorder="1" applyAlignment="1" applyProtection="1">
      <alignment horizontal="center"/>
      <protection hidden="1"/>
    </xf>
    <xf numFmtId="0" fontId="20" fillId="14" borderId="6" xfId="0" applyFont="1" applyFill="1" applyBorder="1" applyAlignment="1" applyProtection="1">
      <alignment horizontal="center"/>
      <protection hidden="1"/>
    </xf>
    <xf numFmtId="0" fontId="20" fillId="14" borderId="11" xfId="0" applyFont="1" applyFill="1" applyBorder="1" applyAlignment="1" applyProtection="1">
      <alignment horizontal="center"/>
      <protection hidden="1"/>
    </xf>
    <xf numFmtId="0" fontId="9" fillId="5" borderId="0" xfId="0" applyFont="1" applyFill="1" applyBorder="1" applyProtection="1"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4" borderId="9" xfId="0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18" fillId="5" borderId="14" xfId="1" applyFont="1" applyFill="1" applyBorder="1" applyAlignment="1" applyProtection="1">
      <alignment horizontal="center"/>
      <protection hidden="1"/>
    </xf>
    <xf numFmtId="0" fontId="21" fillId="35" borderId="0" xfId="0" applyFont="1" applyFill="1" applyBorder="1" applyAlignment="1" applyProtection="1">
      <alignment horizontal="center"/>
      <protection hidden="1"/>
    </xf>
    <xf numFmtId="0" fontId="21" fillId="35" borderId="1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21" fillId="33" borderId="10" xfId="0" applyFont="1" applyFill="1" applyBorder="1" applyAlignment="1" applyProtection="1">
      <alignment horizontal="center"/>
      <protection hidden="1"/>
    </xf>
    <xf numFmtId="0" fontId="4" fillId="16" borderId="0" xfId="0" applyFont="1" applyFill="1" applyBorder="1" applyAlignment="1" applyProtection="1">
      <alignment horizontal="center"/>
      <protection hidden="1"/>
    </xf>
    <xf numFmtId="0" fontId="4" fillId="16" borderId="10" xfId="0" applyFont="1" applyFill="1" applyBorder="1" applyAlignment="1" applyProtection="1">
      <alignment horizontal="center"/>
      <protection hidden="1"/>
    </xf>
    <xf numFmtId="0" fontId="21" fillId="20" borderId="0" xfId="0" applyFont="1" applyFill="1" applyBorder="1" applyAlignment="1" applyProtection="1">
      <alignment horizontal="center"/>
      <protection hidden="1"/>
    </xf>
    <xf numFmtId="0" fontId="21" fillId="20" borderId="10" xfId="0" applyFont="1" applyFill="1" applyBorder="1" applyAlignment="1" applyProtection="1">
      <alignment horizontal="center"/>
      <protection hidden="1"/>
    </xf>
    <xf numFmtId="0" fontId="21" fillId="30" borderId="0" xfId="0" applyFont="1" applyFill="1" applyBorder="1" applyAlignment="1" applyProtection="1">
      <alignment horizontal="center"/>
      <protection hidden="1"/>
    </xf>
    <xf numFmtId="0" fontId="21" fillId="30" borderId="10" xfId="0" applyFont="1" applyFill="1" applyBorder="1" applyAlignment="1" applyProtection="1">
      <alignment horizontal="center"/>
      <protection hidden="1"/>
    </xf>
    <xf numFmtId="0" fontId="21" fillId="27" borderId="0" xfId="0" applyFont="1" applyFill="1" applyBorder="1" applyAlignment="1" applyProtection="1">
      <alignment horizontal="center"/>
      <protection hidden="1"/>
    </xf>
    <xf numFmtId="0" fontId="21" fillId="27" borderId="10" xfId="0" applyFont="1" applyFill="1" applyBorder="1" applyAlignment="1" applyProtection="1">
      <alignment horizontal="center"/>
      <protection hidden="1"/>
    </xf>
    <xf numFmtId="0" fontId="21" fillId="26" borderId="0" xfId="0" applyFont="1" applyFill="1" applyBorder="1" applyAlignment="1" applyProtection="1">
      <alignment horizontal="center"/>
      <protection hidden="1"/>
    </xf>
    <xf numFmtId="0" fontId="21" fillId="26" borderId="10" xfId="0" applyFont="1" applyFill="1" applyBorder="1" applyAlignment="1" applyProtection="1">
      <alignment horizontal="center"/>
      <protection hidden="1"/>
    </xf>
    <xf numFmtId="0" fontId="21" fillId="24" borderId="0" xfId="0" applyFont="1" applyFill="1" applyBorder="1" applyAlignment="1" applyProtection="1">
      <alignment horizontal="center"/>
      <protection hidden="1"/>
    </xf>
    <xf numFmtId="0" fontId="21" fillId="24" borderId="10" xfId="0" applyFont="1" applyFill="1" applyBorder="1" applyAlignment="1" applyProtection="1">
      <alignment horizontal="center"/>
      <protection hidden="1"/>
    </xf>
    <xf numFmtId="0" fontId="4" fillId="22" borderId="0" xfId="0" applyFont="1" applyFill="1" applyBorder="1" applyAlignment="1" applyProtection="1">
      <alignment horizontal="center"/>
      <protection hidden="1"/>
    </xf>
    <xf numFmtId="0" fontId="4" fillId="22" borderId="1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27" fillId="12" borderId="18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5" borderId="4" xfId="0" applyFont="1" applyFill="1" applyBorder="1" applyAlignment="1" applyProtection="1">
      <alignment horizontal="center"/>
      <protection hidden="1"/>
    </xf>
    <xf numFmtId="166" fontId="0" fillId="5" borderId="0" xfId="0" applyNumberFormat="1" applyFont="1" applyFill="1" applyBorder="1" applyAlignment="1" applyProtection="1">
      <alignment horizontal="center"/>
      <protection hidden="1"/>
    </xf>
    <xf numFmtId="0" fontId="5" fillId="5" borderId="0" xfId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 vertical="top" wrapText="1"/>
    </xf>
    <xf numFmtId="0" fontId="4" fillId="4" borderId="2" xfId="0" applyFont="1" applyFill="1" applyBorder="1" applyAlignment="1" applyProtection="1">
      <protection hidden="1"/>
    </xf>
    <xf numFmtId="0" fontId="20" fillId="0" borderId="6" xfId="1" applyFont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4" fillId="31" borderId="27" xfId="0" applyFont="1" applyFill="1" applyBorder="1" applyAlignment="1" applyProtection="1">
      <alignment horizontal="center"/>
      <protection locked="0" hidden="1"/>
    </xf>
    <xf numFmtId="0" fontId="4" fillId="31" borderId="30" xfId="0" applyFont="1" applyFill="1" applyBorder="1" applyAlignment="1" applyProtection="1">
      <alignment horizontal="center"/>
      <protection locked="0" hidden="1"/>
    </xf>
    <xf numFmtId="0" fontId="28" fillId="40" borderId="5" xfId="1" applyFont="1" applyFill="1" applyBorder="1" applyAlignment="1" applyProtection="1">
      <alignment horizontal="right" vertical="center" wrapText="1"/>
      <protection hidden="1"/>
    </xf>
    <xf numFmtId="0" fontId="20" fillId="5" borderId="6" xfId="1" applyFont="1" applyFill="1" applyBorder="1" applyAlignment="1" applyProtection="1">
      <alignment horizontal="center"/>
      <protection hidden="1"/>
    </xf>
    <xf numFmtId="0" fontId="20" fillId="5" borderId="6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/>
      <protection locked="0" hidden="1"/>
    </xf>
    <xf numFmtId="0" fontId="20" fillId="5" borderId="11" xfId="0" applyFont="1" applyFill="1" applyBorder="1" applyAlignment="1" applyProtection="1">
      <alignment horizontal="center"/>
      <protection hidden="1"/>
    </xf>
    <xf numFmtId="0" fontId="23" fillId="40" borderId="6" xfId="1" applyFont="1" applyFill="1" applyBorder="1" applyAlignment="1" applyProtection="1">
      <alignment horizontal="center" vertical="center" wrapText="1"/>
      <protection hidden="1"/>
    </xf>
    <xf numFmtId="0" fontId="28" fillId="40" borderId="6" xfId="1" applyFont="1" applyFill="1" applyBorder="1" applyAlignment="1" applyProtection="1">
      <alignment horizontal="left" vertical="center" wrapText="1"/>
      <protection hidden="1"/>
    </xf>
    <xf numFmtId="0" fontId="28" fillId="40" borderId="11" xfId="1" applyFont="1" applyFill="1" applyBorder="1" applyAlignment="1" applyProtection="1">
      <alignment horizontal="left" vertical="center" wrapText="1"/>
      <protection hidden="1"/>
    </xf>
    <xf numFmtId="0" fontId="29" fillId="40" borderId="4" xfId="1" applyFont="1" applyFill="1" applyBorder="1" applyAlignment="1" applyProtection="1">
      <alignment horizontal="center" vertical="center" wrapText="1"/>
      <protection hidden="1"/>
    </xf>
    <xf numFmtId="0" fontId="29" fillId="40" borderId="0" xfId="1" applyFont="1" applyFill="1" applyBorder="1" applyAlignment="1" applyProtection="1">
      <alignment horizontal="center" vertical="center" wrapText="1"/>
      <protection hidden="1"/>
    </xf>
    <xf numFmtId="0" fontId="29" fillId="40" borderId="10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vertical="top"/>
    </xf>
    <xf numFmtId="0" fontId="25" fillId="43" borderId="2" xfId="1" applyFont="1" applyFill="1" applyBorder="1" applyAlignment="1" applyProtection="1">
      <alignment horizontal="center" wrapText="1"/>
      <protection hidden="1"/>
    </xf>
    <xf numFmtId="0" fontId="25" fillId="43" borderId="3" xfId="1" applyFont="1" applyFill="1" applyBorder="1" applyAlignment="1" applyProtection="1">
      <alignment horizontal="center" wrapText="1"/>
      <protection hidden="1"/>
    </xf>
    <xf numFmtId="0" fontId="27" fillId="43" borderId="4" xfId="1" applyFont="1" applyFill="1" applyBorder="1" applyAlignment="1" applyProtection="1">
      <alignment horizontal="center" vertical="top" wrapText="1"/>
      <protection hidden="1"/>
    </xf>
    <xf numFmtId="0" fontId="27" fillId="43" borderId="0" xfId="1" applyFont="1" applyFill="1" applyBorder="1" applyAlignment="1" applyProtection="1">
      <alignment horizontal="center" vertical="top" wrapText="1"/>
      <protection hidden="1"/>
    </xf>
    <xf numFmtId="0" fontId="26" fillId="43" borderId="5" xfId="1" applyFont="1" applyFill="1" applyBorder="1" applyAlignment="1" applyProtection="1">
      <alignment horizontal="center" vertical="center" wrapText="1"/>
      <protection hidden="1"/>
    </xf>
    <xf numFmtId="0" fontId="26" fillId="43" borderId="6" xfId="1" applyFont="1" applyFill="1" applyBorder="1" applyAlignment="1" applyProtection="1">
      <alignment horizontal="center" vertical="center" wrapText="1"/>
      <protection hidden="1"/>
    </xf>
    <xf numFmtId="0" fontId="21" fillId="5" borderId="0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1" fillId="43" borderId="3" xfId="1" applyFont="1" applyFill="1" applyBorder="1" applyAlignment="1" applyProtection="1">
      <alignment horizontal="center" vertical="center" wrapText="1"/>
      <protection hidden="1"/>
    </xf>
    <xf numFmtId="0" fontId="31" fillId="0" borderId="3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9" fillId="42" borderId="33" xfId="1" applyFont="1" applyFill="1" applyBorder="1" applyAlignment="1">
      <alignment horizontal="center" vertical="top" wrapText="1"/>
    </xf>
    <xf numFmtId="0" fontId="9" fillId="42" borderId="34" xfId="1" applyFont="1" applyFill="1" applyBorder="1" applyAlignment="1">
      <alignment horizontal="center" vertical="top"/>
    </xf>
    <xf numFmtId="0" fontId="9" fillId="42" borderId="35" xfId="1" applyFont="1" applyFill="1" applyBorder="1" applyAlignment="1">
      <alignment horizontal="center" vertical="top"/>
    </xf>
    <xf numFmtId="0" fontId="9" fillId="42" borderId="36" xfId="1" applyFont="1" applyFill="1" applyBorder="1" applyAlignment="1">
      <alignment horizontal="center" vertical="top"/>
    </xf>
    <xf numFmtId="0" fontId="9" fillId="42" borderId="0" xfId="1" applyFont="1" applyFill="1" applyBorder="1" applyAlignment="1">
      <alignment horizontal="center" vertical="top"/>
    </xf>
    <xf numFmtId="0" fontId="9" fillId="42" borderId="37" xfId="1" applyFont="1" applyFill="1" applyBorder="1" applyAlignment="1">
      <alignment horizontal="center" vertical="top"/>
    </xf>
    <xf numFmtId="0" fontId="9" fillId="42" borderId="25" xfId="1" applyFont="1" applyFill="1" applyBorder="1" applyAlignment="1">
      <alignment horizontal="center" vertical="top"/>
    </xf>
    <xf numFmtId="0" fontId="9" fillId="42" borderId="1" xfId="1" applyFont="1" applyFill="1" applyBorder="1" applyAlignment="1">
      <alignment horizontal="center" vertical="top"/>
    </xf>
    <xf numFmtId="0" fontId="9" fillId="42" borderId="38" xfId="1" applyFont="1" applyFill="1" applyBorder="1" applyAlignment="1">
      <alignment horizontal="center" vertical="top"/>
    </xf>
    <xf numFmtId="0" fontId="30" fillId="41" borderId="2" xfId="1" applyFont="1" applyFill="1" applyBorder="1" applyAlignment="1" applyProtection="1">
      <alignment horizontal="center" vertical="center" wrapText="1"/>
      <protection hidden="1"/>
    </xf>
    <xf numFmtId="0" fontId="30" fillId="41" borderId="3" xfId="1" applyFont="1" applyFill="1" applyBorder="1" applyAlignment="1" applyProtection="1">
      <alignment horizontal="center" vertical="center" wrapText="1"/>
      <protection hidden="1"/>
    </xf>
    <xf numFmtId="0" fontId="30" fillId="41" borderId="9" xfId="1" applyFont="1" applyFill="1" applyBorder="1" applyAlignment="1" applyProtection="1">
      <alignment horizontal="center" vertical="center" wrapText="1"/>
      <protection hidden="1"/>
    </xf>
    <xf numFmtId="0" fontId="30" fillId="41" borderId="4" xfId="1" applyFont="1" applyFill="1" applyBorder="1" applyAlignment="1" applyProtection="1">
      <alignment horizontal="center" vertical="center" wrapText="1"/>
      <protection hidden="1"/>
    </xf>
    <xf numFmtId="0" fontId="30" fillId="41" borderId="0" xfId="1" applyFont="1" applyFill="1" applyBorder="1" applyAlignment="1" applyProtection="1">
      <alignment horizontal="center" vertical="center" wrapText="1"/>
      <protection hidden="1"/>
    </xf>
    <xf numFmtId="0" fontId="30" fillId="41" borderId="10" xfId="1" applyFont="1" applyFill="1" applyBorder="1" applyAlignment="1" applyProtection="1">
      <alignment horizontal="center" vertical="center" wrapText="1"/>
      <protection hidden="1"/>
    </xf>
    <xf numFmtId="0" fontId="24" fillId="43" borderId="3" xfId="1" applyFont="1" applyFill="1" applyBorder="1" applyAlignment="1" applyProtection="1">
      <alignment horizontal="center" vertical="center" wrapText="1"/>
      <protection hidden="1"/>
    </xf>
    <xf numFmtId="0" fontId="24" fillId="0" borderId="3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166" fontId="20" fillId="0" borderId="0" xfId="0" applyNumberFormat="1" applyFont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166" fontId="20" fillId="5" borderId="5" xfId="0" applyNumberFormat="1" applyFont="1" applyFill="1" applyBorder="1" applyAlignment="1" applyProtection="1">
      <alignment horizontal="center"/>
      <protection hidden="1"/>
    </xf>
    <xf numFmtId="166" fontId="20" fillId="5" borderId="6" xfId="0" applyNumberFormat="1" applyFont="1" applyFill="1" applyBorder="1" applyAlignment="1" applyProtection="1">
      <alignment horizontal="center"/>
      <protection hidden="1"/>
    </xf>
    <xf numFmtId="166" fontId="20" fillId="0" borderId="4" xfId="0" applyNumberFormat="1" applyFont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4" fillId="31" borderId="25" xfId="0" applyFont="1" applyFill="1" applyBorder="1" applyAlignment="1" applyProtection="1">
      <alignment horizontal="center"/>
      <protection locked="0" hidden="1"/>
    </xf>
    <xf numFmtId="0" fontId="4" fillId="31" borderId="26" xfId="0" applyFont="1" applyFill="1" applyBorder="1" applyAlignment="1" applyProtection="1">
      <alignment horizontal="center"/>
      <protection locked="0" hidden="1"/>
    </xf>
    <xf numFmtId="0" fontId="4" fillId="31" borderId="21" xfId="0" applyFont="1" applyFill="1" applyBorder="1" applyAlignment="1" applyProtection="1">
      <alignment horizontal="center"/>
      <protection locked="0" hidden="1"/>
    </xf>
    <xf numFmtId="0" fontId="4" fillId="31" borderId="22" xfId="0" applyFont="1" applyFill="1" applyBorder="1" applyAlignment="1" applyProtection="1">
      <alignment horizontal="center"/>
      <protection locked="0" hidden="1"/>
    </xf>
    <xf numFmtId="0" fontId="4" fillId="31" borderId="31" xfId="0" applyFont="1" applyFill="1" applyBorder="1" applyAlignment="1" applyProtection="1">
      <alignment horizontal="center"/>
      <protection locked="0" hidden="1"/>
    </xf>
    <xf numFmtId="0" fontId="4" fillId="31" borderId="32" xfId="0" applyFont="1" applyFill="1" applyBorder="1" applyAlignment="1" applyProtection="1">
      <alignment horizontal="center"/>
      <protection locked="0" hidden="1"/>
    </xf>
    <xf numFmtId="0" fontId="4" fillId="31" borderId="28" xfId="0" applyFont="1" applyFill="1" applyBorder="1" applyAlignment="1" applyProtection="1">
      <alignment horizontal="center"/>
      <protection locked="0" hidden="1"/>
    </xf>
    <xf numFmtId="0" fontId="4" fillId="31" borderId="29" xfId="0" applyFont="1" applyFill="1" applyBorder="1" applyAlignment="1" applyProtection="1">
      <alignment horizontal="center"/>
      <protection locked="0"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7" fillId="3" borderId="23" xfId="0" applyFont="1" applyFill="1" applyBorder="1" applyAlignment="1" applyProtection="1">
      <alignment horizontal="center"/>
      <protection locked="0" hidden="1"/>
    </xf>
    <xf numFmtId="0" fontId="7" fillId="3" borderId="18" xfId="0" applyFont="1" applyFill="1" applyBorder="1" applyAlignment="1" applyProtection="1">
      <alignment horizontal="center"/>
      <protection locked="0"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32" fillId="40" borderId="24" xfId="1" applyFont="1" applyFill="1" applyBorder="1" applyAlignment="1" applyProtection="1">
      <alignment vertical="center" textRotation="90"/>
      <protection hidden="1"/>
    </xf>
    <xf numFmtId="0" fontId="32" fillId="40" borderId="7" xfId="1" applyFont="1" applyFill="1" applyBorder="1" applyAlignment="1" applyProtection="1">
      <alignment vertical="center" textRotation="90"/>
      <protection hidden="1"/>
    </xf>
    <xf numFmtId="0" fontId="32" fillId="40" borderId="8" xfId="1" applyFont="1" applyFill="1" applyBorder="1" applyAlignment="1" applyProtection="1">
      <alignment vertical="center" textRotation="90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20" fillId="19" borderId="4" xfId="0" applyFont="1" applyFill="1" applyBorder="1" applyAlignment="1" applyProtection="1">
      <alignment horizontal="left"/>
      <protection hidden="1"/>
    </xf>
    <xf numFmtId="0" fontId="20" fillId="19" borderId="0" xfId="0" applyFont="1" applyFill="1" applyBorder="1" applyAlignment="1" applyProtection="1">
      <alignment horizontal="left"/>
      <protection hidden="1"/>
    </xf>
    <xf numFmtId="166" fontId="20" fillId="0" borderId="3" xfId="0" applyNumberFormat="1" applyFont="1" applyBorder="1" applyAlignment="1" applyProtection="1">
      <alignment horizontal="center"/>
      <protection hidden="1"/>
    </xf>
    <xf numFmtId="0" fontId="21" fillId="19" borderId="4" xfId="0" applyFont="1" applyFill="1" applyBorder="1" applyAlignment="1" applyProtection="1">
      <alignment horizontal="left"/>
      <protection hidden="1"/>
    </xf>
    <xf numFmtId="0" fontId="21" fillId="19" borderId="0" xfId="0" applyFont="1" applyFill="1" applyBorder="1" applyAlignment="1" applyProtection="1">
      <alignment horizontal="left"/>
      <protection hidden="1"/>
    </xf>
    <xf numFmtId="0" fontId="20" fillId="15" borderId="4" xfId="0" applyFont="1" applyFill="1" applyBorder="1" applyAlignment="1" applyProtection="1">
      <alignment horizontal="left"/>
      <protection hidden="1"/>
    </xf>
    <xf numFmtId="0" fontId="20" fillId="15" borderId="0" xfId="0" applyFont="1" applyFill="1" applyBorder="1" applyAlignment="1" applyProtection="1">
      <alignment horizontal="left"/>
      <protection hidden="1"/>
    </xf>
    <xf numFmtId="166" fontId="20" fillId="0" borderId="13" xfId="0" applyNumberFormat="1" applyFont="1" applyBorder="1" applyAlignment="1" applyProtection="1">
      <alignment horizontal="center"/>
      <protection hidden="1"/>
    </xf>
    <xf numFmtId="166" fontId="20" fillId="0" borderId="14" xfId="0" applyNumberFormat="1" applyFont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left"/>
      <protection hidden="1"/>
    </xf>
    <xf numFmtId="0" fontId="4" fillId="4" borderId="14" xfId="0" applyFont="1" applyFill="1" applyBorder="1" applyAlignment="1" applyProtection="1">
      <alignment horizontal="left"/>
      <protection hidden="1"/>
    </xf>
    <xf numFmtId="166" fontId="20" fillId="0" borderId="2" xfId="0" applyNumberFormat="1" applyFont="1" applyBorder="1" applyAlignment="1" applyProtection="1">
      <alignment horizontal="center"/>
      <protection hidden="1"/>
    </xf>
    <xf numFmtId="0" fontId="22" fillId="4" borderId="2" xfId="1" applyFont="1" applyFill="1" applyBorder="1" applyAlignment="1" applyProtection="1">
      <alignment horizontal="center" vertical="center"/>
      <protection hidden="1"/>
    </xf>
    <xf numFmtId="0" fontId="22" fillId="4" borderId="3" xfId="1" applyFont="1" applyFill="1" applyBorder="1" applyAlignment="1" applyProtection="1">
      <alignment horizontal="center" vertical="center"/>
      <protection hidden="1"/>
    </xf>
    <xf numFmtId="0" fontId="22" fillId="4" borderId="4" xfId="1" applyFont="1" applyFill="1" applyBorder="1" applyAlignment="1" applyProtection="1">
      <alignment horizontal="center" vertical="center"/>
      <protection hidden="1"/>
    </xf>
    <xf numFmtId="0" fontId="22" fillId="4" borderId="0" xfId="1" applyFont="1" applyFill="1" applyBorder="1" applyAlignment="1" applyProtection="1">
      <alignment horizontal="center" vertical="center"/>
      <protection hidden="1"/>
    </xf>
    <xf numFmtId="0" fontId="22" fillId="4" borderId="5" xfId="1" applyFont="1" applyFill="1" applyBorder="1" applyAlignment="1" applyProtection="1">
      <alignment horizontal="center" vertical="center"/>
      <protection hidden="1"/>
    </xf>
    <xf numFmtId="0" fontId="22" fillId="4" borderId="6" xfId="1" applyFont="1" applyFill="1" applyBorder="1" applyAlignment="1" applyProtection="1">
      <alignment horizontal="center" vertical="center"/>
      <protection hidden="1"/>
    </xf>
    <xf numFmtId="166" fontId="4" fillId="4" borderId="3" xfId="0" applyNumberFormat="1" applyFont="1" applyFill="1" applyBorder="1" applyAlignment="1" applyProtection="1">
      <alignment horizontal="center" vertical="center"/>
      <protection hidden="1"/>
    </xf>
    <xf numFmtId="166" fontId="4" fillId="4" borderId="9" xfId="0" applyNumberFormat="1" applyFont="1" applyFill="1" applyBorder="1" applyAlignment="1" applyProtection="1">
      <alignment horizontal="center" vertical="center"/>
      <protection hidden="1"/>
    </xf>
    <xf numFmtId="0" fontId="4" fillId="31" borderId="0" xfId="0" applyFont="1" applyFill="1" applyBorder="1" applyAlignment="1" applyProtection="1">
      <alignment horizontal="center" vertical="center"/>
      <protection locked="0" hidden="1"/>
    </xf>
    <xf numFmtId="0" fontId="4" fillId="31" borderId="10" xfId="0" applyFont="1" applyFill="1" applyBorder="1" applyAlignment="1" applyProtection="1">
      <alignment horizontal="center" vertical="center"/>
      <protection locked="0" hidden="1"/>
    </xf>
    <xf numFmtId="166" fontId="4" fillId="4" borderId="0" xfId="0" applyNumberFormat="1" applyFont="1" applyFill="1" applyBorder="1" applyAlignment="1" applyProtection="1">
      <alignment horizontal="center" vertical="center"/>
      <protection hidden="1"/>
    </xf>
    <xf numFmtId="166" fontId="4" fillId="4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/>
      <protection hidden="1"/>
    </xf>
    <xf numFmtId="166" fontId="4" fillId="31" borderId="6" xfId="0" applyNumberFormat="1" applyFont="1" applyFill="1" applyBorder="1" applyAlignment="1" applyProtection="1">
      <alignment horizontal="center" vertical="center"/>
      <protection locked="0" hidden="1"/>
    </xf>
    <xf numFmtId="166" fontId="4" fillId="31" borderId="11" xfId="0" applyNumberFormat="1" applyFont="1" applyFill="1" applyBorder="1" applyAlignment="1" applyProtection="1">
      <alignment horizontal="center" vertical="center"/>
      <protection locked="0" hidden="1"/>
    </xf>
    <xf numFmtId="0" fontId="18" fillId="5" borderId="14" xfId="1" applyFont="1" applyFill="1" applyBorder="1" applyAlignment="1" applyProtection="1">
      <alignment horizontal="center"/>
      <protection hidden="1"/>
    </xf>
    <xf numFmtId="0" fontId="21" fillId="27" borderId="4" xfId="0" applyFont="1" applyFill="1" applyBorder="1" applyAlignment="1" applyProtection="1">
      <alignment horizontal="left"/>
      <protection hidden="1"/>
    </xf>
    <xf numFmtId="0" fontId="21" fillId="27" borderId="0" xfId="0" applyFont="1" applyFill="1" applyBorder="1" applyAlignment="1" applyProtection="1">
      <alignment horizontal="left"/>
      <protection hidden="1"/>
    </xf>
    <xf numFmtId="0" fontId="20" fillId="28" borderId="4" xfId="0" applyFont="1" applyFill="1" applyBorder="1" applyAlignment="1" applyProtection="1">
      <alignment horizontal="left"/>
      <protection hidden="1"/>
    </xf>
    <xf numFmtId="0" fontId="20" fillId="28" borderId="0" xfId="0" applyFont="1" applyFill="1" applyBorder="1" applyAlignment="1" applyProtection="1">
      <alignment horizontal="left"/>
      <protection hidden="1"/>
    </xf>
    <xf numFmtId="0" fontId="34" fillId="5" borderId="3" xfId="1" applyFont="1" applyFill="1" applyBorder="1" applyAlignment="1" applyProtection="1">
      <alignment horizontal="center" vertical="center"/>
      <protection hidden="1"/>
    </xf>
    <xf numFmtId="0" fontId="0" fillId="15" borderId="5" xfId="0" applyFont="1" applyFill="1" applyBorder="1" applyAlignment="1" applyProtection="1">
      <alignment horizontal="left"/>
      <protection hidden="1"/>
    </xf>
    <xf numFmtId="0" fontId="0" fillId="15" borderId="6" xfId="0" applyFont="1" applyFill="1" applyBorder="1" applyAlignment="1" applyProtection="1">
      <alignment horizontal="left"/>
      <protection hidden="1"/>
    </xf>
    <xf numFmtId="0" fontId="4" fillId="25" borderId="2" xfId="0" applyFont="1" applyFill="1" applyBorder="1" applyAlignment="1" applyProtection="1">
      <alignment horizontal="left"/>
      <protection hidden="1"/>
    </xf>
    <xf numFmtId="0" fontId="4" fillId="25" borderId="3" xfId="0" applyFont="1" applyFill="1" applyBorder="1" applyAlignment="1" applyProtection="1">
      <alignment horizontal="left"/>
      <protection hidden="1"/>
    </xf>
    <xf numFmtId="0" fontId="21" fillId="26" borderId="4" xfId="0" applyFont="1" applyFill="1" applyBorder="1" applyAlignment="1" applyProtection="1">
      <alignment horizontal="left"/>
      <protection hidden="1"/>
    </xf>
    <xf numFmtId="0" fontId="21" fillId="26" borderId="0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locked="0" hidden="1"/>
    </xf>
    <xf numFmtId="0" fontId="4" fillId="4" borderId="6" xfId="0" applyFont="1" applyFill="1" applyBorder="1" applyAlignment="1" applyProtection="1">
      <alignment horizontal="right" vertical="center"/>
      <protection locked="0" hidden="1"/>
    </xf>
    <xf numFmtId="0" fontId="4" fillId="22" borderId="4" xfId="0" applyFont="1" applyFill="1" applyBorder="1" applyAlignment="1" applyProtection="1">
      <alignment horizontal="left"/>
      <protection hidden="1"/>
    </xf>
    <xf numFmtId="0" fontId="4" fillId="22" borderId="0" xfId="0" applyFont="1" applyFill="1" applyBorder="1" applyAlignment="1" applyProtection="1">
      <alignment horizontal="left"/>
      <protection hidden="1"/>
    </xf>
    <xf numFmtId="0" fontId="4" fillId="4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20" fillId="11" borderId="5" xfId="0" applyFont="1" applyFill="1" applyBorder="1" applyAlignment="1" applyProtection="1">
      <alignment horizontal="left"/>
      <protection hidden="1"/>
    </xf>
    <xf numFmtId="0" fontId="20" fillId="11" borderId="6" xfId="0" applyFont="1" applyFill="1" applyBorder="1" applyAlignment="1" applyProtection="1">
      <alignment horizontal="left"/>
      <protection hidden="1"/>
    </xf>
    <xf numFmtId="0" fontId="4" fillId="21" borderId="13" xfId="0" applyFont="1" applyFill="1" applyBorder="1" applyAlignment="1" applyProtection="1">
      <alignment horizontal="left"/>
      <protection hidden="1"/>
    </xf>
    <xf numFmtId="0" fontId="4" fillId="21" borderId="14" xfId="0" applyFont="1" applyFill="1" applyBorder="1" applyAlignment="1" applyProtection="1">
      <alignment horizontal="left"/>
      <protection hidden="1"/>
    </xf>
    <xf numFmtId="0" fontId="4" fillId="16" borderId="2" xfId="0" applyFont="1" applyFill="1" applyBorder="1" applyAlignment="1" applyProtection="1">
      <alignment horizontal="left"/>
      <protection hidden="1"/>
    </xf>
    <xf numFmtId="0" fontId="4" fillId="16" borderId="3" xfId="0" applyFont="1" applyFill="1" applyBorder="1" applyAlignment="1" applyProtection="1">
      <alignment horizontal="left"/>
      <protection hidden="1"/>
    </xf>
    <xf numFmtId="0" fontId="21" fillId="24" borderId="4" xfId="0" applyFont="1" applyFill="1" applyBorder="1" applyAlignment="1" applyProtection="1">
      <alignment horizontal="left"/>
      <protection hidden="1"/>
    </xf>
    <xf numFmtId="0" fontId="21" fillId="24" borderId="0" xfId="0" applyFont="1" applyFill="1" applyBorder="1" applyAlignment="1" applyProtection="1">
      <alignment horizontal="left"/>
      <protection hidden="1"/>
    </xf>
    <xf numFmtId="0" fontId="20" fillId="23" borderId="4" xfId="0" applyFont="1" applyFill="1" applyBorder="1" applyAlignment="1" applyProtection="1">
      <alignment horizontal="left"/>
      <protection hidden="1"/>
    </xf>
    <xf numFmtId="0" fontId="20" fillId="23" borderId="0" xfId="0" applyFont="1" applyFill="1" applyBorder="1" applyAlignment="1" applyProtection="1">
      <alignment horizontal="left"/>
      <protection hidden="1"/>
    </xf>
    <xf numFmtId="0" fontId="20" fillId="17" borderId="5" xfId="0" applyFont="1" applyFill="1" applyBorder="1" applyAlignment="1" applyProtection="1">
      <alignment horizontal="left"/>
      <protection hidden="1"/>
    </xf>
    <xf numFmtId="0" fontId="20" fillId="17" borderId="6" xfId="0" applyFont="1" applyFill="1" applyBorder="1" applyAlignment="1" applyProtection="1">
      <alignment horizontal="left"/>
      <protection hidden="1"/>
    </xf>
    <xf numFmtId="0" fontId="4" fillId="29" borderId="13" xfId="0" applyFont="1" applyFill="1" applyBorder="1" applyAlignment="1" applyProtection="1">
      <alignment horizontal="left"/>
      <protection hidden="1"/>
    </xf>
    <xf numFmtId="0" fontId="4" fillId="29" borderId="14" xfId="0" applyFont="1" applyFill="1" applyBorder="1" applyAlignment="1" applyProtection="1">
      <alignment horizontal="left"/>
      <protection hidden="1"/>
    </xf>
    <xf numFmtId="0" fontId="21" fillId="30" borderId="2" xfId="0" applyFont="1" applyFill="1" applyBorder="1" applyAlignment="1" applyProtection="1">
      <alignment horizontal="left"/>
      <protection hidden="1"/>
    </xf>
    <xf numFmtId="0" fontId="21" fillId="30" borderId="3" xfId="0" applyFont="1" applyFill="1" applyBorder="1" applyAlignment="1" applyProtection="1">
      <alignment horizontal="left"/>
      <protection hidden="1"/>
    </xf>
    <xf numFmtId="0" fontId="21" fillId="33" borderId="4" xfId="0" applyFont="1" applyFill="1" applyBorder="1" applyAlignment="1" applyProtection="1">
      <alignment horizontal="left"/>
      <protection hidden="1"/>
    </xf>
    <xf numFmtId="0" fontId="21" fillId="33" borderId="0" xfId="0" applyFont="1" applyFill="1" applyBorder="1" applyAlignment="1" applyProtection="1">
      <alignment horizontal="left"/>
      <protection hidden="1"/>
    </xf>
    <xf numFmtId="0" fontId="20" fillId="38" borderId="4" xfId="0" applyFont="1" applyFill="1" applyBorder="1" applyAlignment="1" applyProtection="1">
      <alignment horizontal="left"/>
      <protection hidden="1"/>
    </xf>
    <xf numFmtId="0" fontId="20" fillId="38" borderId="0" xfId="0" applyFont="1" applyFill="1" applyBorder="1" applyAlignment="1" applyProtection="1">
      <alignment horizontal="left"/>
      <protection hidden="1"/>
    </xf>
    <xf numFmtId="0" fontId="20" fillId="34" borderId="5" xfId="0" applyFont="1" applyFill="1" applyBorder="1" applyAlignment="1" applyProtection="1">
      <alignment horizontal="left"/>
      <protection hidden="1"/>
    </xf>
    <xf numFmtId="0" fontId="20" fillId="34" borderId="6" xfId="0" applyFont="1" applyFill="1" applyBorder="1" applyAlignment="1" applyProtection="1">
      <alignment horizontal="left"/>
      <protection hidden="1"/>
    </xf>
    <xf numFmtId="0" fontId="4" fillId="13" borderId="13" xfId="0" applyFont="1" applyFill="1" applyBorder="1" applyAlignment="1" applyProtection="1">
      <alignment horizontal="left"/>
      <protection hidden="1"/>
    </xf>
    <xf numFmtId="0" fontId="4" fillId="13" borderId="14" xfId="0" applyFont="1" applyFill="1" applyBorder="1" applyAlignment="1" applyProtection="1">
      <alignment horizontal="left"/>
      <protection hidden="1"/>
    </xf>
    <xf numFmtId="0" fontId="21" fillId="32" borderId="2" xfId="0" applyFont="1" applyFill="1" applyBorder="1" applyAlignment="1" applyProtection="1">
      <alignment horizontal="left"/>
      <protection hidden="1"/>
    </xf>
    <xf numFmtId="0" fontId="21" fillId="32" borderId="3" xfId="0" applyFont="1" applyFill="1" applyBorder="1" applyAlignment="1" applyProtection="1">
      <alignment horizontal="left"/>
      <protection hidden="1"/>
    </xf>
    <xf numFmtId="0" fontId="21" fillId="20" borderId="4" xfId="0" applyFont="1" applyFill="1" applyBorder="1" applyAlignment="1" applyProtection="1">
      <alignment horizontal="left"/>
      <protection hidden="1"/>
    </xf>
    <xf numFmtId="0" fontId="21" fillId="20" borderId="0" xfId="0" applyFont="1" applyFill="1" applyBorder="1" applyAlignment="1" applyProtection="1">
      <alignment horizontal="left"/>
      <protection hidden="1"/>
    </xf>
    <xf numFmtId="0" fontId="20" fillId="18" borderId="4" xfId="0" applyFont="1" applyFill="1" applyBorder="1" applyAlignment="1" applyProtection="1">
      <alignment horizontal="left"/>
      <protection hidden="1"/>
    </xf>
    <xf numFmtId="0" fontId="20" fillId="18" borderId="0" xfId="0" applyFont="1" applyFill="1" applyBorder="1" applyAlignment="1" applyProtection="1">
      <alignment horizontal="left"/>
      <protection hidden="1"/>
    </xf>
    <xf numFmtId="0" fontId="20" fillId="14" borderId="5" xfId="0" applyFont="1" applyFill="1" applyBorder="1" applyAlignment="1" applyProtection="1">
      <alignment horizontal="left"/>
      <protection hidden="1"/>
    </xf>
    <xf numFmtId="0" fontId="20" fillId="14" borderId="6" xfId="0" applyFont="1" applyFill="1" applyBorder="1" applyAlignment="1" applyProtection="1">
      <alignment horizontal="left"/>
      <protection hidden="1"/>
    </xf>
    <xf numFmtId="0" fontId="4" fillId="39" borderId="13" xfId="0" applyFont="1" applyFill="1" applyBorder="1" applyAlignment="1" applyProtection="1">
      <alignment horizontal="left"/>
      <protection hidden="1"/>
    </xf>
    <xf numFmtId="0" fontId="4" fillId="39" borderId="14" xfId="0" applyFont="1" applyFill="1" applyBorder="1" applyAlignment="1" applyProtection="1">
      <alignment horizontal="left"/>
      <protection hidden="1"/>
    </xf>
    <xf numFmtId="0" fontId="21" fillId="31" borderId="2" xfId="0" applyFont="1" applyFill="1" applyBorder="1" applyAlignment="1" applyProtection="1">
      <alignment horizontal="left"/>
      <protection hidden="1"/>
    </xf>
    <xf numFmtId="0" fontId="21" fillId="31" borderId="3" xfId="0" applyFont="1" applyFill="1" applyBorder="1" applyAlignment="1" applyProtection="1">
      <alignment horizontal="left"/>
      <protection hidden="1"/>
    </xf>
    <xf numFmtId="0" fontId="21" fillId="5" borderId="3" xfId="0" applyFont="1" applyFill="1" applyBorder="1" applyAlignment="1" applyProtection="1">
      <alignment horizontal="center"/>
      <protection hidden="1"/>
    </xf>
    <xf numFmtId="0" fontId="21" fillId="5" borderId="0" xfId="1" applyFont="1" applyFill="1" applyBorder="1" applyAlignment="1" applyProtection="1">
      <alignment horizontal="center" vertical="center"/>
      <protection hidden="1"/>
    </xf>
    <xf numFmtId="0" fontId="21" fillId="35" borderId="4" xfId="0" applyFont="1" applyFill="1" applyBorder="1" applyAlignment="1" applyProtection="1">
      <alignment horizontal="left"/>
      <protection hidden="1"/>
    </xf>
    <xf numFmtId="0" fontId="21" fillId="35" borderId="0" xfId="0" applyFont="1" applyFill="1" applyBorder="1" applyAlignment="1" applyProtection="1">
      <alignment horizontal="left"/>
      <protection hidden="1"/>
    </xf>
    <xf numFmtId="0" fontId="20" fillId="36" borderId="4" xfId="0" applyFont="1" applyFill="1" applyBorder="1" applyAlignment="1" applyProtection="1">
      <alignment horizontal="left"/>
      <protection hidden="1"/>
    </xf>
    <xf numFmtId="0" fontId="20" fillId="36" borderId="0" xfId="0" applyFont="1" applyFill="1" applyBorder="1" applyAlignment="1" applyProtection="1">
      <alignment horizontal="left"/>
      <protection hidden="1"/>
    </xf>
    <xf numFmtId="0" fontId="20" fillId="37" borderId="5" xfId="0" applyFont="1" applyFill="1" applyBorder="1" applyAlignment="1" applyProtection="1">
      <alignment horizontal="left"/>
      <protection hidden="1"/>
    </xf>
    <xf numFmtId="0" fontId="20" fillId="37" borderId="6" xfId="0" applyFont="1" applyFill="1" applyBorder="1" applyAlignment="1" applyProtection="1">
      <alignment horizontal="left"/>
      <protection hidden="1"/>
    </xf>
    <xf numFmtId="0" fontId="21" fillId="19" borderId="2" xfId="0" applyFont="1" applyFill="1" applyBorder="1" applyAlignment="1" applyProtection="1">
      <alignment horizontal="left"/>
      <protection hidden="1"/>
    </xf>
    <xf numFmtId="0" fontId="21" fillId="19" borderId="3" xfId="0" applyFont="1" applyFill="1" applyBorder="1" applyAlignment="1" applyProtection="1">
      <alignment horizontal="left"/>
      <protection hidden="1"/>
    </xf>
    <xf numFmtId="0" fontId="20" fillId="15" borderId="5" xfId="0" applyFont="1" applyFill="1" applyBorder="1" applyAlignment="1" applyProtection="1">
      <alignment horizontal="left"/>
      <protection hidden="1"/>
    </xf>
    <xf numFmtId="0" fontId="20" fillId="15" borderId="6" xfId="0" applyFont="1" applyFill="1" applyBorder="1" applyAlignment="1" applyProtection="1">
      <alignment horizontal="left"/>
      <protection hidden="1"/>
    </xf>
    <xf numFmtId="0" fontId="27" fillId="12" borderId="16" xfId="0" applyFont="1" applyFill="1" applyBorder="1" applyAlignment="1" applyProtection="1">
      <alignment horizontal="center" vertical="center"/>
      <protection hidden="1"/>
    </xf>
    <xf numFmtId="0" fontId="27" fillId="12" borderId="17" xfId="0" applyFont="1" applyFill="1" applyBorder="1" applyAlignment="1" applyProtection="1">
      <alignment horizontal="center" vertical="center"/>
      <protection hidden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79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  <color rgb="FFFF6600"/>
      <color rgb="FFFF3300"/>
      <color rgb="FFCC0000"/>
      <color rgb="FFFF7C80"/>
      <color rgb="FFCC3300"/>
      <color rgb="FFFFCCCC"/>
      <color rgb="FFFF66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clkuk.tradedoubler.com/click?p=263915&amp;a=2776874&amp;g=2273952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occerwallcharts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soccerwallcharts.com/beer.html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clkuk.tradedoubler.com/click?p=263915&amp;a=2776874&amp;g=2273953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918882</xdr:colOff>
      <xdr:row>2</xdr:row>
      <xdr:rowOff>22412</xdr:rowOff>
    </xdr:from>
    <xdr:to>
      <xdr:col>13</xdr:col>
      <xdr:colOff>112058</xdr:colOff>
      <xdr:row>3</xdr:row>
      <xdr:rowOff>144182</xdr:rowOff>
    </xdr:to>
    <xdr:pic>
      <xdr:nvPicPr>
        <xdr:cNvPr id="2" name="Picture 1" descr="http://www.uefa.com/img/comp/euro2016/newbrand/topwordmark.png">
          <a:hlinkClick xmlns:r="http://schemas.openxmlformats.org/officeDocument/2006/relationships" r:id="rId1" tooltip="www.soccerwallcharts.com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0941" y="291353"/>
          <a:ext cx="1411941" cy="293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68579</xdr:colOff>
      <xdr:row>16</xdr:row>
      <xdr:rowOff>142857</xdr:rowOff>
    </xdr:from>
    <xdr:to>
      <xdr:col>20</xdr:col>
      <xdr:colOff>190500</xdr:colOff>
      <xdr:row>18</xdr:row>
      <xdr:rowOff>129539</xdr:rowOff>
    </xdr:to>
    <xdr:pic>
      <xdr:nvPicPr>
        <xdr:cNvPr id="4" name="Picture 3">
          <a:hlinkClick xmlns:r="http://schemas.openxmlformats.org/officeDocument/2006/relationships" r:id="rId1" tooltip="www.soccerwallcharts.com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8519" y="3267057"/>
          <a:ext cx="373381" cy="352443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</xdr:colOff>
      <xdr:row>1</xdr:row>
      <xdr:rowOff>28557</xdr:rowOff>
    </xdr:from>
    <xdr:to>
      <xdr:col>3</xdr:col>
      <xdr:colOff>76200</xdr:colOff>
      <xdr:row>4</xdr:row>
      <xdr:rowOff>150120</xdr:rowOff>
    </xdr:to>
    <xdr:pic>
      <xdr:nvPicPr>
        <xdr:cNvPr id="16" name="Picture 15">
          <a:hlinkClick xmlns:r="http://schemas.openxmlformats.org/officeDocument/2006/relationships" r:id="rId1" tooltip="soccerwallcharts.com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59" y="127617"/>
          <a:ext cx="685801" cy="647343"/>
        </a:xfrm>
        <a:prstGeom prst="rect">
          <a:avLst/>
        </a:prstGeom>
      </xdr:spPr>
    </xdr:pic>
    <xdr:clientData/>
  </xdr:twoCellAnchor>
  <xdr:twoCellAnchor editAs="oneCell">
    <xdr:from>
      <xdr:col>1</xdr:col>
      <xdr:colOff>7614</xdr:colOff>
      <xdr:row>74</xdr:row>
      <xdr:rowOff>89517</xdr:rowOff>
    </xdr:from>
    <xdr:to>
      <xdr:col>2</xdr:col>
      <xdr:colOff>126518</xdr:colOff>
      <xdr:row>76</xdr:row>
      <xdr:rowOff>114300</xdr:rowOff>
    </xdr:to>
    <xdr:pic>
      <xdr:nvPicPr>
        <xdr:cNvPr id="17" name="Picture 16">
          <a:hlinkClick xmlns:r="http://schemas.openxmlformats.org/officeDocument/2006/relationships" r:id="rId1" tooltip="soccerwallcharts.com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66" y="13613093"/>
          <a:ext cx="588419" cy="563571"/>
        </a:xfrm>
        <a:prstGeom prst="rect">
          <a:avLst/>
        </a:prstGeom>
      </xdr:spPr>
    </xdr:pic>
    <xdr:clientData/>
  </xdr:twoCellAnchor>
  <xdr:twoCellAnchor editAs="oneCell">
    <xdr:from>
      <xdr:col>14</xdr:col>
      <xdr:colOff>420168</xdr:colOff>
      <xdr:row>16</xdr:row>
      <xdr:rowOff>28486</xdr:rowOff>
    </xdr:from>
    <xdr:to>
      <xdr:col>17</xdr:col>
      <xdr:colOff>161034</xdr:colOff>
      <xdr:row>18</xdr:row>
      <xdr:rowOff>105842</xdr:rowOff>
    </xdr:to>
    <xdr:pic>
      <xdr:nvPicPr>
        <xdr:cNvPr id="6" name="Picture 5">
          <a:hlinkClick xmlns:r="http://schemas.openxmlformats.org/officeDocument/2006/relationships" r:id="rId5" tooltip="Buy us a beer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523" y="3104972"/>
          <a:ext cx="14001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4744</xdr:colOff>
      <xdr:row>6</xdr:row>
      <xdr:rowOff>4930</xdr:rowOff>
    </xdr:from>
    <xdr:to>
      <xdr:col>5</xdr:col>
      <xdr:colOff>1068033</xdr:colOff>
      <xdr:row>8</xdr:row>
      <xdr:rowOff>257483</xdr:rowOff>
    </xdr:to>
    <xdr:pic>
      <xdr:nvPicPr>
        <xdr:cNvPr id="22" name="Picture 21">
          <a:hlinkClick xmlns:r="http://schemas.openxmlformats.org/officeDocument/2006/relationships" r:id="rId7" tooltip="Office 365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5" y="991519"/>
          <a:ext cx="2807868" cy="769911"/>
        </a:xfrm>
        <a:prstGeom prst="rect">
          <a:avLst/>
        </a:prstGeom>
      </xdr:spPr>
    </xdr:pic>
    <xdr:clientData/>
  </xdr:twoCellAnchor>
  <xdr:twoCellAnchor editAs="oneCell">
    <xdr:from>
      <xdr:col>14</xdr:col>
      <xdr:colOff>38485</xdr:colOff>
      <xdr:row>74</xdr:row>
      <xdr:rowOff>69273</xdr:rowOff>
    </xdr:from>
    <xdr:to>
      <xdr:col>20</xdr:col>
      <xdr:colOff>195394</xdr:colOff>
      <xdr:row>75</xdr:row>
      <xdr:rowOff>195432</xdr:rowOff>
    </xdr:to>
    <xdr:pic>
      <xdr:nvPicPr>
        <xdr:cNvPr id="23" name="Picture 22">
          <a:hlinkClick xmlns:r="http://schemas.openxmlformats.org/officeDocument/2006/relationships" r:id="rId9" tooltip="XBOX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9273" y="13592849"/>
          <a:ext cx="2535273" cy="426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ker.bwin.com/en/poker/download?wm=4122331&amp;zoneId=1570104" TargetMode="External"/><Relationship Id="rId18" Type="http://schemas.openxmlformats.org/officeDocument/2006/relationships/hyperlink" Target="https://sports.bwin.com/en/sports?wm=4128472&amp;zoneId=1570108" TargetMode="External"/><Relationship Id="rId26" Type="http://schemas.openxmlformats.org/officeDocument/2006/relationships/hyperlink" Target="https://sports.bwin.com/en/sports?wm=4128472&amp;zoneId=1570108" TargetMode="External"/><Relationship Id="rId39" Type="http://schemas.openxmlformats.org/officeDocument/2006/relationships/hyperlink" Target="http://www.partycasino.com/?wm=4128477&amp;zoneId=1570111" TargetMode="External"/><Relationship Id="rId3" Type="http://schemas.openxmlformats.org/officeDocument/2006/relationships/hyperlink" Target="http://imstore.bet365affiliates.com/Tracker.aspx?AffiliateId=64834&amp;AffiliateCode=365_235613&amp;CID=376&amp;DID=27&amp;TID=1&amp;PID=148&amp;LNG=1" TargetMode="External"/><Relationship Id="rId21" Type="http://schemas.openxmlformats.org/officeDocument/2006/relationships/hyperlink" Target="https://sports.bwin.com/en/sports?wm=4128472&amp;zoneId=1570108" TargetMode="External"/><Relationship Id="rId34" Type="http://schemas.openxmlformats.org/officeDocument/2006/relationships/hyperlink" Target="http://www.partycasino.com/?wm=4128477&amp;zoneId=1570111" TargetMode="External"/><Relationship Id="rId42" Type="http://schemas.openxmlformats.org/officeDocument/2006/relationships/hyperlink" Target="http://www.partycasino.com/?wm=4128477&amp;zoneId=1570111" TargetMode="External"/><Relationship Id="rId47" Type="http://schemas.openxmlformats.org/officeDocument/2006/relationships/hyperlink" Target="https://sports.bwin.com/en/sports?wm=4128472&amp;zoneId=1570108" TargetMode="External"/><Relationship Id="rId50" Type="http://schemas.openxmlformats.org/officeDocument/2006/relationships/hyperlink" Target="http://partners.commission.bz/processing/clickthrgh.asp?btag=a_36697b_895" TargetMode="External"/><Relationship Id="rId7" Type="http://schemas.openxmlformats.org/officeDocument/2006/relationships/hyperlink" Target="https://poker.bwin.com/en/poker/download?wm=4122331&amp;zoneId=1570104" TargetMode="External"/><Relationship Id="rId12" Type="http://schemas.openxmlformats.org/officeDocument/2006/relationships/hyperlink" Target="https://poker.bwin.com/en/poker/download?wm=4122331&amp;zoneId=1570104" TargetMode="External"/><Relationship Id="rId17" Type="http://schemas.openxmlformats.org/officeDocument/2006/relationships/hyperlink" Target="https://sports.bwin.com/en/sports?wm=4128472&amp;zoneId=1570108" TargetMode="External"/><Relationship Id="rId25" Type="http://schemas.openxmlformats.org/officeDocument/2006/relationships/hyperlink" Target="https://sports.bwin.com/en/sports?wm=4128472&amp;zoneId=1570108" TargetMode="External"/><Relationship Id="rId33" Type="http://schemas.openxmlformats.org/officeDocument/2006/relationships/hyperlink" Target="http://www.partycasino.com/?wm=4128477&amp;zoneId=1570111" TargetMode="External"/><Relationship Id="rId38" Type="http://schemas.openxmlformats.org/officeDocument/2006/relationships/hyperlink" Target="http://www.partycasino.com/?wm=4128477&amp;zoneId=1570111" TargetMode="External"/><Relationship Id="rId46" Type="http://schemas.openxmlformats.org/officeDocument/2006/relationships/hyperlink" Target="https://sports.bwin.com/en/sports?wm=4128472&amp;zoneId=1570108" TargetMode="External"/><Relationship Id="rId2" Type="http://schemas.openxmlformats.org/officeDocument/2006/relationships/hyperlink" Target="http://www.888poker.com/promotions?sr=1056285&amp;flag=0000" TargetMode="External"/><Relationship Id="rId16" Type="http://schemas.openxmlformats.org/officeDocument/2006/relationships/hyperlink" Target="https://poker.bwin.com/en/poker/download?wm=4122331&amp;zoneId=1570104" TargetMode="External"/><Relationship Id="rId20" Type="http://schemas.openxmlformats.org/officeDocument/2006/relationships/hyperlink" Target="https://sports.bwin.com/en/sports?wm=4128472&amp;zoneId=1570108" TargetMode="External"/><Relationship Id="rId29" Type="http://schemas.openxmlformats.org/officeDocument/2006/relationships/hyperlink" Target="https://sports.bwin.com/en/sports?wm=4128472&amp;zoneId=1570108" TargetMode="External"/><Relationship Id="rId41" Type="http://schemas.openxmlformats.org/officeDocument/2006/relationships/hyperlink" Target="http://www.partycasino.com/?wm=4128477&amp;zoneId=1570111" TargetMode="External"/><Relationship Id="rId1" Type="http://schemas.openxmlformats.org/officeDocument/2006/relationships/hyperlink" Target="https://sports.bwin.com/en/sports?wm=4128472&amp;zoneId=1570108" TargetMode="External"/><Relationship Id="rId6" Type="http://schemas.openxmlformats.org/officeDocument/2006/relationships/hyperlink" Target="https://poker.bwin.com/en/poker/download?wm=4122331&amp;zoneId=1570104" TargetMode="External"/><Relationship Id="rId11" Type="http://schemas.openxmlformats.org/officeDocument/2006/relationships/hyperlink" Target="https://poker.bwin.com/en/poker/download?wm=4122331&amp;zoneId=1570104" TargetMode="External"/><Relationship Id="rId24" Type="http://schemas.openxmlformats.org/officeDocument/2006/relationships/hyperlink" Target="https://sports.bwin.com/en/sports?wm=4128472&amp;zoneId=1570108" TargetMode="External"/><Relationship Id="rId32" Type="http://schemas.openxmlformats.org/officeDocument/2006/relationships/hyperlink" Target="http://www.partycasino.com/?wm=4128477&amp;zoneId=1570111" TargetMode="External"/><Relationship Id="rId37" Type="http://schemas.openxmlformats.org/officeDocument/2006/relationships/hyperlink" Target="http://www.partycasino.com/?wm=4128477&amp;zoneId=1570111" TargetMode="External"/><Relationship Id="rId40" Type="http://schemas.openxmlformats.org/officeDocument/2006/relationships/hyperlink" Target="http://www.partycasino.com/?wm=4128477&amp;zoneId=1570111" TargetMode="External"/><Relationship Id="rId45" Type="http://schemas.openxmlformats.org/officeDocument/2006/relationships/hyperlink" Target="http://www.partycasino.com/?wm=4128477&amp;zoneId=1570111" TargetMode="External"/><Relationship Id="rId5" Type="http://schemas.openxmlformats.org/officeDocument/2006/relationships/hyperlink" Target="https://poker.bwin.com/en/poker/download?wm=4122331&amp;zoneId=1570104" TargetMode="External"/><Relationship Id="rId15" Type="http://schemas.openxmlformats.org/officeDocument/2006/relationships/hyperlink" Target="https://poker.bwin.com/en/poker/download?wm=4122331&amp;zoneId=1570104" TargetMode="External"/><Relationship Id="rId23" Type="http://schemas.openxmlformats.org/officeDocument/2006/relationships/hyperlink" Target="https://sports.bwin.com/en/sports?wm=4128472&amp;zoneId=1570108" TargetMode="External"/><Relationship Id="rId28" Type="http://schemas.openxmlformats.org/officeDocument/2006/relationships/hyperlink" Target="https://sports.bwin.com/en/sports?wm=4128472&amp;zoneId=1570108" TargetMode="External"/><Relationship Id="rId36" Type="http://schemas.openxmlformats.org/officeDocument/2006/relationships/hyperlink" Target="http://www.partycasino.com/?wm=4128477&amp;zoneId=1570111" TargetMode="External"/><Relationship Id="rId49" Type="http://schemas.openxmlformats.org/officeDocument/2006/relationships/hyperlink" Target="http://partners.commission.bz/processing/clickthrgh.asp?btag=a_36697b_895" TargetMode="External"/><Relationship Id="rId10" Type="http://schemas.openxmlformats.org/officeDocument/2006/relationships/hyperlink" Target="https://poker.bwin.com/en/poker/download?wm=4122331&amp;zoneId=1570104" TargetMode="External"/><Relationship Id="rId19" Type="http://schemas.openxmlformats.org/officeDocument/2006/relationships/hyperlink" Target="https://sports.bwin.com/en/sports?wm=4128472&amp;zoneId=1570108" TargetMode="External"/><Relationship Id="rId31" Type="http://schemas.openxmlformats.org/officeDocument/2006/relationships/hyperlink" Target="http://imstore.bet365affiliates.com/Tracker.aspx?AffiliateId=64834&amp;AffiliateCode=365_235613&amp;CID=405&amp;DID=27&amp;TID=1&amp;PID=74&amp;LNG=1" TargetMode="External"/><Relationship Id="rId44" Type="http://schemas.openxmlformats.org/officeDocument/2006/relationships/hyperlink" Target="http://www.partycasino.com/?wm=4128477&amp;zoneId=1570111" TargetMode="External"/><Relationship Id="rId52" Type="http://schemas.openxmlformats.org/officeDocument/2006/relationships/hyperlink" Target="http://partners.commission.bz/processing/clickthrgh.asp?btag=a_36697b_884" TargetMode="External"/><Relationship Id="rId4" Type="http://schemas.openxmlformats.org/officeDocument/2006/relationships/hyperlink" Target="https://poker.bwin.com/en/poker/download?wm=4122331&amp;zoneId=1570104" TargetMode="External"/><Relationship Id="rId9" Type="http://schemas.openxmlformats.org/officeDocument/2006/relationships/hyperlink" Target="https://poker.bwin.com/en/poker/download?wm=4122331&amp;zoneId=1570104" TargetMode="External"/><Relationship Id="rId14" Type="http://schemas.openxmlformats.org/officeDocument/2006/relationships/hyperlink" Target="https://poker.bwin.com/en/poker/download?wm=4122331&amp;zoneId=1570104" TargetMode="External"/><Relationship Id="rId22" Type="http://schemas.openxmlformats.org/officeDocument/2006/relationships/hyperlink" Target="https://sports.bwin.com/en/sports?wm=4128472&amp;zoneId=1570108" TargetMode="External"/><Relationship Id="rId27" Type="http://schemas.openxmlformats.org/officeDocument/2006/relationships/hyperlink" Target="https://sports.bwin.com/en/sports?wm=4128472&amp;zoneId=1570108" TargetMode="External"/><Relationship Id="rId30" Type="http://schemas.openxmlformats.org/officeDocument/2006/relationships/hyperlink" Target="http://www.888casino.com/affiliates/knights-and-maidens.htm?sr=1056285&amp;flag=0000" TargetMode="External"/><Relationship Id="rId35" Type="http://schemas.openxmlformats.org/officeDocument/2006/relationships/hyperlink" Target="http://www.partycasino.com/?wm=4128477&amp;zoneId=1570111" TargetMode="External"/><Relationship Id="rId43" Type="http://schemas.openxmlformats.org/officeDocument/2006/relationships/hyperlink" Target="http://www.partycasino.com/?wm=4128477&amp;zoneId=1570111" TargetMode="External"/><Relationship Id="rId48" Type="http://schemas.openxmlformats.org/officeDocument/2006/relationships/hyperlink" Target="http://partners.commission.bz/processing/clickthrgh.asp?btag=a_36697b_895" TargetMode="External"/><Relationship Id="rId8" Type="http://schemas.openxmlformats.org/officeDocument/2006/relationships/hyperlink" Target="https://poker.bwin.com/en/poker/download?wm=4122331&amp;zoneId=1570104" TargetMode="External"/><Relationship Id="rId51" Type="http://schemas.openxmlformats.org/officeDocument/2006/relationships/hyperlink" Target="http://partners.commission.bz/processing/clickthrgh.asp?btag=a_36697b_1318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clkuk.tradedoubler.com/click?p=263915&amp;a=2776874&amp;g=22739520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clkuk.tradedoubler.com/click?p=263915&amp;a=2776874&amp;g=22739514" TargetMode="External"/><Relationship Id="rId1" Type="http://schemas.openxmlformats.org/officeDocument/2006/relationships/hyperlink" Target="https://clkuk.tradedoubler.com/click?p=263915&amp;a=2776874&amp;g=22739514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lkuk.tradedoubler.com/click?p=263915&amp;a=2776874&amp;g=22739532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ccerwallcharts.com/get-the-app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lkuk.tradedoubler.com/click?p=263915&amp;a=2776874&amp;g=22739532" TargetMode="External"/><Relationship Id="rId3" Type="http://schemas.openxmlformats.org/officeDocument/2006/relationships/hyperlink" Target="https://clkuk.tradedoubler.com/click?p=263915&amp;a=2776874&amp;g=22739624" TargetMode="External"/><Relationship Id="rId7" Type="http://schemas.openxmlformats.org/officeDocument/2006/relationships/hyperlink" Target="mailto:soccerwallcharts@gmail.com" TargetMode="External"/><Relationship Id="rId2" Type="http://schemas.openxmlformats.org/officeDocument/2006/relationships/hyperlink" Target="mailto:soccerwallcharts@gmail.com" TargetMode="External"/><Relationship Id="rId1" Type="http://schemas.openxmlformats.org/officeDocument/2006/relationships/hyperlink" Target="http://www.soccerwallcharts.com/" TargetMode="External"/><Relationship Id="rId6" Type="http://schemas.openxmlformats.org/officeDocument/2006/relationships/hyperlink" Target="https://clkuk.tradedoubler.com/click?p=263915&amp;a=2776874&amp;g=22739520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lkuk.tradedoubler.com/click?p=263915&amp;a=2776874&amp;g=22739520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soccerwallcharts.com/beer.html" TargetMode="External"/><Relationship Id="rId9" Type="http://schemas.openxmlformats.org/officeDocument/2006/relationships/hyperlink" Target="http://andadfree.soccerwallchar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X31"/>
  <sheetViews>
    <sheetView workbookViewId="0">
      <selection activeCell="I8" sqref="E8:I8"/>
    </sheetView>
  </sheetViews>
  <sheetFormatPr defaultRowHeight="15"/>
  <cols>
    <col min="9" max="9" width="9" bestFit="1" customWidth="1"/>
    <col min="10" max="10" width="11.7109375" bestFit="1" customWidth="1"/>
    <col min="11" max="11" width="11" customWidth="1"/>
    <col min="12" max="14" width="8.42578125" bestFit="1" customWidth="1"/>
    <col min="15" max="15" width="10" bestFit="1" customWidth="1"/>
    <col min="17" max="17" width="12" bestFit="1" customWidth="1"/>
  </cols>
  <sheetData>
    <row r="1" spans="1:20">
      <c r="B1" s="17" t="str">
        <f>Config!C22</f>
        <v>Portugal</v>
      </c>
      <c r="C1" s="17" t="str">
        <f>Config!C23</f>
        <v>Iceland</v>
      </c>
      <c r="D1" s="17" t="str">
        <f>Config!C24</f>
        <v>Austria</v>
      </c>
      <c r="E1" s="17" t="str">
        <f>Config!C25</f>
        <v>Hungary</v>
      </c>
      <c r="K1" t="s">
        <v>173</v>
      </c>
    </row>
    <row r="2" spans="1:20">
      <c r="B2" t="s">
        <v>201</v>
      </c>
      <c r="D2" t="s">
        <v>202</v>
      </c>
      <c r="E2" t="s">
        <v>199</v>
      </c>
      <c r="F2" t="s">
        <v>200</v>
      </c>
      <c r="G2" t="s">
        <v>159</v>
      </c>
      <c r="H2" t="s">
        <v>203</v>
      </c>
      <c r="I2" t="s">
        <v>204</v>
      </c>
      <c r="K2" s="215" t="s">
        <v>160</v>
      </c>
      <c r="L2" s="215"/>
      <c r="M2" s="215"/>
      <c r="N2" s="215"/>
    </row>
    <row r="3" spans="1:20">
      <c r="A3">
        <v>1</v>
      </c>
      <c r="B3" t="str">
        <f>B1</f>
        <v>Portugal</v>
      </c>
      <c r="C3" t="s">
        <v>161</v>
      </c>
      <c r="D3" t="str">
        <f>C1</f>
        <v>Iceland</v>
      </c>
      <c r="E3" s="16">
        <f>Wallchart!H24</f>
        <v>0</v>
      </c>
      <c r="F3" s="16">
        <f>Wallchart!I24</f>
        <v>0</v>
      </c>
      <c r="G3" s="17">
        <f>IF(I3=0,0,IF(E3&lt;F3,0,IF(E3&gt;F3,3,1)))</f>
        <v>0</v>
      </c>
      <c r="H3" s="17">
        <f>IF(I3=0,0,IF(F3&lt;E3,0,IF(F3&gt;E3,3,1)))</f>
        <v>0</v>
      </c>
      <c r="I3" s="16">
        <f>IF(ISBLANK(Wallchart!H24)=TRUE,0,IF(ISBLANK(Wallchart!I24)=TRUE,0,1))</f>
        <v>0</v>
      </c>
      <c r="K3" t="str">
        <f>B1</f>
        <v>Portugal</v>
      </c>
      <c r="L3" t="str">
        <f>C1</f>
        <v>Iceland</v>
      </c>
      <c r="M3" t="str">
        <f>D1</f>
        <v>Austria</v>
      </c>
      <c r="N3" t="str">
        <f>E1</f>
        <v>Hungary</v>
      </c>
      <c r="P3" s="5" t="str">
        <f>B1</f>
        <v>Portugal</v>
      </c>
      <c r="Q3" s="5" t="str">
        <f>C1</f>
        <v>Iceland</v>
      </c>
      <c r="R3" s="5" t="str">
        <f>D1</f>
        <v>Austria</v>
      </c>
      <c r="S3" s="5" t="str">
        <f>E1</f>
        <v>Hungary</v>
      </c>
      <c r="T3" s="5" t="s">
        <v>162</v>
      </c>
    </row>
    <row r="4" spans="1:20">
      <c r="A4">
        <v>2</v>
      </c>
      <c r="B4" t="str">
        <f>D1</f>
        <v>Austria</v>
      </c>
      <c r="C4" t="s">
        <v>161</v>
      </c>
      <c r="D4" t="str">
        <f>E1</f>
        <v>Hungary</v>
      </c>
      <c r="E4" s="16">
        <f>Wallchart!H23</f>
        <v>0</v>
      </c>
      <c r="F4" s="16">
        <f>Wallchart!I23</f>
        <v>0</v>
      </c>
      <c r="G4" s="17">
        <f t="shared" ref="G4:G8" si="0">IF(I4=0,0,IF(E4&lt;F4,0,IF(E4&gt;F4,3,1)))</f>
        <v>0</v>
      </c>
      <c r="H4" s="17">
        <f t="shared" ref="H4:H8" si="1">IF(I4=0,0,IF(F4&lt;E4,0,IF(F4&gt;E4,3,1)))</f>
        <v>0</v>
      </c>
      <c r="I4" s="16">
        <f>IF(ISBLANK(Wallchart!H23)=TRUE,0,IF(ISBLANK(Wallchart!I23)=TRUE,0,1))</f>
        <v>0</v>
      </c>
      <c r="J4" t="str">
        <f>B1</f>
        <v>Portugal</v>
      </c>
      <c r="K4">
        <v>0</v>
      </c>
      <c r="L4">
        <f>E3</f>
        <v>0</v>
      </c>
      <c r="M4">
        <f>E5</f>
        <v>0</v>
      </c>
      <c r="N4">
        <f>F7</f>
        <v>0</v>
      </c>
      <c r="P4">
        <v>0</v>
      </c>
      <c r="Q4">
        <f>IF(N26=N27,L4,0)</f>
        <v>0</v>
      </c>
      <c r="R4">
        <f>IF(N26=N28,M4,0)</f>
        <v>0</v>
      </c>
      <c r="S4">
        <f>IF(N26=N29,N4,0)</f>
        <v>0</v>
      </c>
      <c r="T4">
        <f>SUM(P4:S4)</f>
        <v>0</v>
      </c>
    </row>
    <row r="5" spans="1:20">
      <c r="A5">
        <v>3</v>
      </c>
      <c r="B5" t="str">
        <f>B1</f>
        <v>Portugal</v>
      </c>
      <c r="C5" t="s">
        <v>161</v>
      </c>
      <c r="D5" t="str">
        <f>D1</f>
        <v>Austria</v>
      </c>
      <c r="E5" s="16">
        <f>Wallchart!H36</f>
        <v>0</v>
      </c>
      <c r="F5" s="16">
        <f>Wallchart!I36</f>
        <v>0</v>
      </c>
      <c r="G5" s="17">
        <f t="shared" si="0"/>
        <v>0</v>
      </c>
      <c r="H5" s="17">
        <f t="shared" si="1"/>
        <v>0</v>
      </c>
      <c r="I5" s="16">
        <f>IF(ISBLANK(Wallchart!H36)=TRUE,0,IF(ISBLANK(Wallchart!I36)=TRUE,0,1))</f>
        <v>0</v>
      </c>
      <c r="J5" t="str">
        <f>C1</f>
        <v>Iceland</v>
      </c>
      <c r="K5">
        <f>F3</f>
        <v>0</v>
      </c>
      <c r="L5">
        <v>0</v>
      </c>
      <c r="M5">
        <f>F8</f>
        <v>0</v>
      </c>
      <c r="N5">
        <f>E6</f>
        <v>0</v>
      </c>
      <c r="P5">
        <f>IF(N27=N26,K5,0)</f>
        <v>0</v>
      </c>
      <c r="Q5">
        <v>0</v>
      </c>
      <c r="R5">
        <f>IF(N27=N28,M5,0)</f>
        <v>0</v>
      </c>
      <c r="S5">
        <f>IF(N27=N29,N5,0)</f>
        <v>0</v>
      </c>
      <c r="T5">
        <f>SUM(P5:S5)</f>
        <v>0</v>
      </c>
    </row>
    <row r="6" spans="1:20">
      <c r="A6">
        <v>4</v>
      </c>
      <c r="B6" t="str">
        <f>C1</f>
        <v>Iceland</v>
      </c>
      <c r="C6" t="s">
        <v>161</v>
      </c>
      <c r="D6" t="str">
        <f>E1</f>
        <v>Hungary</v>
      </c>
      <c r="E6" s="16">
        <f>Wallchart!H35</f>
        <v>0</v>
      </c>
      <c r="F6" s="16">
        <f>Wallchart!I35</f>
        <v>0</v>
      </c>
      <c r="G6" s="17">
        <f t="shared" si="0"/>
        <v>0</v>
      </c>
      <c r="H6" s="17">
        <f t="shared" si="1"/>
        <v>0</v>
      </c>
      <c r="I6" s="16">
        <f>IF(ISBLANK(Wallchart!H35)=TRUE,0,IF(ISBLANK(Wallchart!I35)=TRUE,0,1))</f>
        <v>0</v>
      </c>
      <c r="J6" t="str">
        <f>D1</f>
        <v>Austria</v>
      </c>
      <c r="K6">
        <f>F5</f>
        <v>0</v>
      </c>
      <c r="L6">
        <f>E8</f>
        <v>0</v>
      </c>
      <c r="M6">
        <v>0</v>
      </c>
      <c r="N6">
        <f>E4</f>
        <v>0</v>
      </c>
      <c r="P6">
        <f>IF(N28=N26,K6,0)</f>
        <v>0</v>
      </c>
      <c r="Q6">
        <f>IF(N28=N27,L6,0)</f>
        <v>0</v>
      </c>
      <c r="R6">
        <v>0</v>
      </c>
      <c r="S6">
        <f>IF(N28=N29,N6,0)</f>
        <v>0</v>
      </c>
      <c r="T6">
        <f>SUM(P6:S6)</f>
        <v>0</v>
      </c>
    </row>
    <row r="7" spans="1:20">
      <c r="A7">
        <v>5</v>
      </c>
      <c r="B7" t="str">
        <f>E1</f>
        <v>Hungary</v>
      </c>
      <c r="C7" t="s">
        <v>161</v>
      </c>
      <c r="D7" t="str">
        <f>B1</f>
        <v>Portugal</v>
      </c>
      <c r="E7" s="16">
        <f>Wallchart!H46</f>
        <v>0</v>
      </c>
      <c r="F7" s="16">
        <f>Wallchart!I46</f>
        <v>0</v>
      </c>
      <c r="G7" s="17">
        <f t="shared" si="0"/>
        <v>0</v>
      </c>
      <c r="H7" s="17">
        <f t="shared" si="1"/>
        <v>0</v>
      </c>
      <c r="I7" s="16">
        <f>IF(ISBLANK(Wallchart!H46)=TRUE,0,IF(ISBLANK(Wallchart!I46)=TRUE,0,1))</f>
        <v>0</v>
      </c>
      <c r="J7" t="str">
        <f>E1</f>
        <v>Hungary</v>
      </c>
      <c r="K7">
        <f>E7</f>
        <v>0</v>
      </c>
      <c r="L7">
        <f>F6</f>
        <v>0</v>
      </c>
      <c r="M7">
        <f>F4</f>
        <v>0</v>
      </c>
      <c r="N7">
        <v>0</v>
      </c>
      <c r="P7">
        <f>IF(N29=N26,K7,0)</f>
        <v>0</v>
      </c>
      <c r="Q7">
        <f>IF(N29=N27,L7,0)</f>
        <v>0</v>
      </c>
      <c r="R7">
        <f>IF(N29=N28,M7,0)</f>
        <v>0</v>
      </c>
      <c r="S7">
        <v>0</v>
      </c>
      <c r="T7">
        <f>SUM(P7:S7)</f>
        <v>0</v>
      </c>
    </row>
    <row r="8" spans="1:20">
      <c r="A8">
        <v>6</v>
      </c>
      <c r="B8" t="str">
        <f>D1</f>
        <v>Austria</v>
      </c>
      <c r="C8" t="s">
        <v>161</v>
      </c>
      <c r="D8" t="str">
        <f>C1</f>
        <v>Iceland</v>
      </c>
      <c r="E8" s="16">
        <f>Wallchart!I45</f>
        <v>0</v>
      </c>
      <c r="F8" s="16">
        <f>Wallchart!H45</f>
        <v>0</v>
      </c>
      <c r="G8" s="17">
        <f t="shared" si="0"/>
        <v>0</v>
      </c>
      <c r="H8" s="17">
        <f t="shared" si="1"/>
        <v>0</v>
      </c>
      <c r="I8" s="16">
        <f>IF(ISBLANK(Wallchart!H45)=TRUE,0,IF(ISBLANK(Wallchart!I45)=TRUE,0,1))</f>
        <v>0</v>
      </c>
    </row>
    <row r="9" spans="1:20">
      <c r="I9" s="20"/>
      <c r="K9" t="s">
        <v>174</v>
      </c>
    </row>
    <row r="10" spans="1:20" ht="15.75" thickBot="1">
      <c r="K10" t="str">
        <f>B1</f>
        <v>Portugal</v>
      </c>
      <c r="L10" t="str">
        <f>C1</f>
        <v>Iceland</v>
      </c>
      <c r="M10" t="str">
        <f>D1</f>
        <v>Austria</v>
      </c>
      <c r="N10" t="str">
        <f>E1</f>
        <v>Hungary</v>
      </c>
      <c r="P10" s="5" t="str">
        <f>B1</f>
        <v>Portugal</v>
      </c>
      <c r="Q10" s="5" t="str">
        <f>C1</f>
        <v>Iceland</v>
      </c>
      <c r="R10" s="5" t="str">
        <f>D1</f>
        <v>Austria</v>
      </c>
      <c r="S10" s="5" t="str">
        <f>E1</f>
        <v>Hungary</v>
      </c>
      <c r="T10" s="5" t="s">
        <v>162</v>
      </c>
    </row>
    <row r="11" spans="1:20">
      <c r="B11" s="9" t="s">
        <v>196</v>
      </c>
      <c r="C11" s="10" t="s">
        <v>195</v>
      </c>
      <c r="D11" s="11" t="s">
        <v>163</v>
      </c>
      <c r="E11" s="11" t="s">
        <v>157</v>
      </c>
      <c r="F11" s="11" t="s">
        <v>164</v>
      </c>
      <c r="G11" s="11" t="s">
        <v>165</v>
      </c>
      <c r="H11" s="11" t="s">
        <v>156</v>
      </c>
      <c r="I11" s="18" t="s">
        <v>198</v>
      </c>
      <c r="J11" t="str">
        <f>B1</f>
        <v>Portugal</v>
      </c>
      <c r="K11">
        <v>0</v>
      </c>
      <c r="L11">
        <f>L4-K5</f>
        <v>0</v>
      </c>
      <c r="M11">
        <f>M4-K6</f>
        <v>0</v>
      </c>
      <c r="N11">
        <f>N4-K7</f>
        <v>0</v>
      </c>
      <c r="P11">
        <v>0</v>
      </c>
      <c r="Q11">
        <f>IF(L26=L27,L11,0)</f>
        <v>0</v>
      </c>
      <c r="R11">
        <f>IF(L26=L28,M11,0)</f>
        <v>0</v>
      </c>
      <c r="S11">
        <f>IF(L26=L29,N11,0)</f>
        <v>0</v>
      </c>
      <c r="T11">
        <f>SUM(P11:S11)</f>
        <v>0</v>
      </c>
    </row>
    <row r="12" spans="1:20">
      <c r="B12" s="12">
        <v>1</v>
      </c>
      <c r="C12" s="13" t="str">
        <f>IF(S$26=1,A$26,IF(S$27=1,A$27,IF(S$28=1,A$28,A$29)))</f>
        <v>Portugal</v>
      </c>
      <c r="D12" s="13">
        <f>IF(S$26=1,B$26,IF(S$27=1,B$27,IF(S$28=1,B$28,B$29)))</f>
        <v>0</v>
      </c>
      <c r="E12" s="13">
        <f>IF(S$26=1,C$26,IF(S$27=1,C$27,IF(S$28=1,C$28,C$29)))</f>
        <v>0</v>
      </c>
      <c r="F12" s="13">
        <f>IF(S$26=1,D$26,IF(S$27=1,D$27,IF(S$28=1,D$28,D$29)))</f>
        <v>0</v>
      </c>
      <c r="G12" s="13">
        <f>IF(S$26=1,E$26,IF(S$27=1,E$27,IF(S$28=1,E$28,E$29)))</f>
        <v>0</v>
      </c>
      <c r="H12" s="13">
        <f>IF(S$26=1,T$26,IF(S$27=1,T$27,IF(S$28=1,T$28,T$29)))</f>
        <v>0</v>
      </c>
      <c r="I12" s="21"/>
      <c r="J12" t="str">
        <f>C1</f>
        <v>Iceland</v>
      </c>
      <c r="K12">
        <f>K5-L4</f>
        <v>0</v>
      </c>
      <c r="L12">
        <v>0</v>
      </c>
      <c r="M12">
        <f>M5-L6</f>
        <v>0</v>
      </c>
      <c r="N12">
        <f>N5-L7</f>
        <v>0</v>
      </c>
      <c r="P12">
        <f>IF(L27=L26,K12,0)</f>
        <v>0</v>
      </c>
      <c r="Q12">
        <v>0</v>
      </c>
      <c r="R12">
        <f>IF(L27=L28,M12,0)</f>
        <v>0</v>
      </c>
      <c r="S12">
        <f>IF(L27=L29,N12,0)</f>
        <v>0</v>
      </c>
      <c r="T12">
        <f>SUM(P12:S12)</f>
        <v>0</v>
      </c>
    </row>
    <row r="13" spans="1:20">
      <c r="B13" s="12">
        <v>2</v>
      </c>
      <c r="C13" s="13" t="str">
        <f>IF(S$26=2,A$26,IF(S$27=2,A$27,IF(S$28=2,A$28,A$29)))</f>
        <v>Iceland</v>
      </c>
      <c r="D13" s="13">
        <f>IF(S$26=2,B$26,IF(S$27=2,B$27,IF(S$28=2,B$28,B$29)))</f>
        <v>0</v>
      </c>
      <c r="E13" s="13">
        <f>IF(S$26=2,C$26,IF(S$27=2,C$27,IF(S$28=2,C$28,C$29)))</f>
        <v>0</v>
      </c>
      <c r="F13" s="13">
        <f>IF(S$26=2,D$26,IF(S$27=2,D$27,IF(S$28=2,D$28,D$29)))</f>
        <v>0</v>
      </c>
      <c r="G13" s="13">
        <f>IF(S$26=2,E$26,IF(S$27=2,E$27,IF(S$28=2,E$28,E$29)))</f>
        <v>0</v>
      </c>
      <c r="H13" s="13">
        <f>IF(S$26=2,T$26,IF(S$27=2,T$27,IF(S$28=2,T$28,T$29)))</f>
        <v>0</v>
      </c>
      <c r="I13" s="21"/>
      <c r="J13" t="str">
        <f>D1</f>
        <v>Austria</v>
      </c>
      <c r="K13">
        <f>K6-M4</f>
        <v>0</v>
      </c>
      <c r="L13">
        <f>L6-M5</f>
        <v>0</v>
      </c>
      <c r="M13">
        <v>0</v>
      </c>
      <c r="N13">
        <f>N6-M7</f>
        <v>0</v>
      </c>
      <c r="P13">
        <f>IF(L28=L26,K13,0)</f>
        <v>0</v>
      </c>
      <c r="Q13">
        <f>IF(L28=L27,L13,0)</f>
        <v>0</v>
      </c>
      <c r="R13">
        <v>0</v>
      </c>
      <c r="S13">
        <f>IF(L28=L29,N13,0)</f>
        <v>0</v>
      </c>
      <c r="T13">
        <f>SUM(P13:S13)</f>
        <v>0</v>
      </c>
    </row>
    <row r="14" spans="1:20">
      <c r="B14" s="12">
        <v>3</v>
      </c>
      <c r="C14" s="13" t="str">
        <f>IF(S$26=3,A$26,IF(S$27=3,A$27,IF(S$28=3,A$28,A$29)))</f>
        <v>Austria</v>
      </c>
      <c r="D14" s="13">
        <f>IF(S$26=3,B$26,IF(S$27=3,B$27,IF(S$28=3,B$28,B$29)))</f>
        <v>0</v>
      </c>
      <c r="E14" s="13">
        <f>IF(S$26=3,C$26,IF(S$27=3,C$27,IF(S$28=3,C$28,C$29)))</f>
        <v>0</v>
      </c>
      <c r="F14" s="13">
        <f>IF(S$26=3,D$26,IF(S$27=3,D$27,IF(S$28=3,D$28,D$29)))</f>
        <v>0</v>
      </c>
      <c r="G14" s="13">
        <f>IF(S$26=3,E$26,IF(S$27=3,E$27,IF(S$28=3,E$28,E$29)))</f>
        <v>0</v>
      </c>
      <c r="H14" s="13">
        <f>IF(S$26=3,T$26,IF(S$27=3,T$27,IF(S$28=3,T$28,T$29)))</f>
        <v>0</v>
      </c>
      <c r="I14" s="21"/>
      <c r="J14" t="str">
        <f>E1</f>
        <v>Hungary</v>
      </c>
      <c r="K14">
        <f>K7-N4</f>
        <v>0</v>
      </c>
      <c r="L14">
        <f>L7-N5</f>
        <v>0</v>
      </c>
      <c r="M14">
        <f>M7-N6</f>
        <v>0</v>
      </c>
      <c r="N14">
        <v>0</v>
      </c>
      <c r="P14">
        <f>IF(L29=L26,K14,0)</f>
        <v>0</v>
      </c>
      <c r="Q14">
        <f>IF(L29=L27,L14,0)</f>
        <v>0</v>
      </c>
      <c r="R14">
        <f>IF(L29=L28,M14,0)</f>
        <v>0</v>
      </c>
      <c r="S14">
        <v>0</v>
      </c>
      <c r="T14">
        <f>SUM(P14:S14)</f>
        <v>0</v>
      </c>
    </row>
    <row r="15" spans="1:20" ht="15.75" thickBot="1">
      <c r="B15" s="14">
        <v>4</v>
      </c>
      <c r="C15" s="15" t="str">
        <f>IF(S$26=4,A$26,IF(S$27=4,A$27,IF(S$28=4,A$28,A$29)))</f>
        <v>Hungary</v>
      </c>
      <c r="D15" s="15">
        <f>IF(S$26=4,B$26,IF(S$27=4,B$27,IF(S$28=4,B$28,B$29)))</f>
        <v>0</v>
      </c>
      <c r="E15" s="15">
        <f>IF(S$26=4,C$26,IF(S$27=4,C$27,IF(S$28=4,C$28,C$29)))</f>
        <v>0</v>
      </c>
      <c r="F15" s="15">
        <f>IF(S$26=4,D$26,IF(S$27=4,D$27,IF(S$28=4,D$28,D$29)))</f>
        <v>0</v>
      </c>
      <c r="G15" s="15">
        <f>IF(S$26=4,E$26,IF(S$27=4,E$27,IF(S$28=4,E$28,E$29)))</f>
        <v>0</v>
      </c>
      <c r="H15" s="15">
        <f>IF(S$26=4,T$26,IF(S$27=4,T$27,IF(S$28=4,T$28,T$29)))</f>
        <v>0</v>
      </c>
      <c r="I15" s="21"/>
    </row>
    <row r="16" spans="1:20" ht="15.75" thickBot="1">
      <c r="I16" s="19" t="str">
        <f>IF(SUM(I3:I8)=6,IF(GrpF!W28&gt;0,IF(I12=I13,"Duplicate",IF(I12=I14,"Duplicate",IF(I12=I15,"Duplicate",IF(I13=I14,"Duplicate",IF(I13=I15,"Duplcate",IF(I14=I15,"Duplicate","")))))),""),"")</f>
        <v/>
      </c>
      <c r="K16" t="s">
        <v>175</v>
      </c>
    </row>
    <row r="17" spans="1:24">
      <c r="K17" t="str">
        <f>B1</f>
        <v>Portugal</v>
      </c>
      <c r="L17" t="str">
        <f>C1</f>
        <v>Iceland</v>
      </c>
      <c r="M17" t="str">
        <f>D1</f>
        <v>Austria</v>
      </c>
      <c r="N17" t="str">
        <f>E1</f>
        <v>Hungary</v>
      </c>
      <c r="P17" s="5" t="str">
        <f>B1</f>
        <v>Portugal</v>
      </c>
      <c r="Q17" s="5" t="str">
        <f>C1</f>
        <v>Iceland</v>
      </c>
      <c r="R17" s="5" t="str">
        <f>D1</f>
        <v>Austria</v>
      </c>
      <c r="S17" s="5" t="str">
        <f>E1</f>
        <v>Hungary</v>
      </c>
      <c r="T17" s="5" t="s">
        <v>162</v>
      </c>
    </row>
    <row r="18" spans="1:24">
      <c r="J18" t="str">
        <f>B1</f>
        <v>Portugal</v>
      </c>
      <c r="K18">
        <v>0</v>
      </c>
      <c r="L18">
        <f>IF(L11&lt;0,0,IF(L11&gt;0,3,1))</f>
        <v>1</v>
      </c>
      <c r="M18">
        <f>IF(M11&lt;0,0,IF(M11&gt;0,3,1))</f>
        <v>1</v>
      </c>
      <c r="N18">
        <f>IF(N11&lt;0,0,IF(N11&gt;0,3,1))</f>
        <v>1</v>
      </c>
      <c r="P18">
        <v>0</v>
      </c>
      <c r="Q18">
        <f>IF(J26=J27,L18,0)</f>
        <v>1</v>
      </c>
      <c r="R18">
        <f>IF(J26=J28,M18,0)</f>
        <v>1</v>
      </c>
      <c r="S18">
        <f>IF(J26=J29,N18,0)</f>
        <v>1</v>
      </c>
      <c r="T18">
        <f>SUM(P18:S18)</f>
        <v>3</v>
      </c>
    </row>
    <row r="19" spans="1:24">
      <c r="J19" t="str">
        <f>C1</f>
        <v>Iceland</v>
      </c>
      <c r="K19">
        <f>IF(K12&lt;0,0,IF(K12&gt;0,3,1))</f>
        <v>1</v>
      </c>
      <c r="L19">
        <v>0</v>
      </c>
      <c r="M19">
        <f>IF(M12&lt;0,0,IF(M12&gt;0,3,1))</f>
        <v>1</v>
      </c>
      <c r="N19">
        <f>IF(N12&lt;0,0,IF(N12&gt;0,3,1))</f>
        <v>1</v>
      </c>
      <c r="P19">
        <f>IF(J27=J26,K19,0)</f>
        <v>1</v>
      </c>
      <c r="Q19">
        <v>0</v>
      </c>
      <c r="R19">
        <f>IF(J27=J28,M19,0)</f>
        <v>1</v>
      </c>
      <c r="S19">
        <f>IF(J27=J29,N19,0)</f>
        <v>1</v>
      </c>
      <c r="T19">
        <f>SUM(P19:S19)</f>
        <v>3</v>
      </c>
    </row>
    <row r="20" spans="1:24">
      <c r="J20" t="str">
        <f>D1</f>
        <v>Austria</v>
      </c>
      <c r="K20">
        <f>IF(K13&lt;0,0,IF(K13&gt;0,3,1))</f>
        <v>1</v>
      </c>
      <c r="L20">
        <f>IF(L13&lt;0,0,IF(L13&gt;0,3,1))</f>
        <v>1</v>
      </c>
      <c r="M20">
        <v>0</v>
      </c>
      <c r="N20">
        <f>IF(N13&lt;0,0,IF(N13&gt;0,3,1))</f>
        <v>1</v>
      </c>
      <c r="P20">
        <f>IF(J28=J26,K20,0)</f>
        <v>1</v>
      </c>
      <c r="Q20">
        <f>IF(J28=J27,L20,0)</f>
        <v>1</v>
      </c>
      <c r="R20">
        <v>0</v>
      </c>
      <c r="S20">
        <f>IF(J28=J29,N20,0)</f>
        <v>1</v>
      </c>
      <c r="T20">
        <f>SUM(P20:S20)</f>
        <v>3</v>
      </c>
    </row>
    <row r="21" spans="1:24">
      <c r="J21" t="str">
        <f>E1</f>
        <v>Hungary</v>
      </c>
      <c r="K21">
        <f>IF(K14&lt;0,0,IF(K14&gt;0,3,1))</f>
        <v>1</v>
      </c>
      <c r="L21">
        <f>IF(L14&lt;0,0,IF(L14&gt;0,3,1))</f>
        <v>1</v>
      </c>
      <c r="M21">
        <f>IF(M14&lt;0,0,IF(M14&gt;0,3,1))</f>
        <v>1</v>
      </c>
      <c r="N21">
        <v>0</v>
      </c>
      <c r="P21">
        <f>IF(J29=J26,K21,0)</f>
        <v>1</v>
      </c>
      <c r="Q21">
        <f>IF(J29=J27,L21,0)</f>
        <v>1</v>
      </c>
      <c r="R21">
        <f>IF(J29=J28,M21,0)</f>
        <v>1</v>
      </c>
      <c r="S21">
        <v>0</v>
      </c>
      <c r="T21">
        <f>SUM(P21:S21)</f>
        <v>3</v>
      </c>
    </row>
    <row r="23" spans="1:24">
      <c r="A23" t="s">
        <v>64</v>
      </c>
      <c r="B23" t="s">
        <v>63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70</v>
      </c>
      <c r="I23" t="s">
        <v>177</v>
      </c>
      <c r="J23" t="s">
        <v>178</v>
      </c>
      <c r="K23" t="s">
        <v>179</v>
      </c>
      <c r="L23" t="s">
        <v>180</v>
      </c>
      <c r="M23" t="s">
        <v>181</v>
      </c>
      <c r="N23" t="s">
        <v>182</v>
      </c>
      <c r="O23" t="s">
        <v>183</v>
      </c>
      <c r="P23" t="s">
        <v>184</v>
      </c>
      <c r="Q23" t="s">
        <v>185</v>
      </c>
      <c r="R23" t="s">
        <v>186</v>
      </c>
      <c r="S23" t="s">
        <v>187</v>
      </c>
      <c r="T23" t="s">
        <v>188</v>
      </c>
    </row>
    <row r="24" spans="1:24">
      <c r="F24" s="8" t="s">
        <v>156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4" ht="188.25">
      <c r="A25" s="7" t="s">
        <v>195</v>
      </c>
      <c r="B25" t="s">
        <v>163</v>
      </c>
      <c r="C25" t="s">
        <v>157</v>
      </c>
      <c r="D25" t="s">
        <v>164</v>
      </c>
      <c r="E25" t="s">
        <v>165</v>
      </c>
      <c r="F25" s="6" t="s">
        <v>166</v>
      </c>
      <c r="G25" s="7" t="s">
        <v>167</v>
      </c>
      <c r="H25" s="7" t="s">
        <v>189</v>
      </c>
      <c r="I25" s="7" t="s">
        <v>168</v>
      </c>
      <c r="J25" s="7" t="s">
        <v>190</v>
      </c>
      <c r="K25" s="7" t="s">
        <v>169</v>
      </c>
      <c r="L25" s="7" t="s">
        <v>191</v>
      </c>
      <c r="M25" s="7" t="s">
        <v>170</v>
      </c>
      <c r="N25" s="7" t="s">
        <v>192</v>
      </c>
      <c r="O25" s="7" t="s">
        <v>172</v>
      </c>
      <c r="P25" s="7" t="s">
        <v>193</v>
      </c>
      <c r="Q25" s="7" t="s">
        <v>171</v>
      </c>
      <c r="R25" s="7" t="s">
        <v>194</v>
      </c>
      <c r="S25" s="7" t="s">
        <v>197</v>
      </c>
      <c r="T25" s="7" t="s">
        <v>176</v>
      </c>
      <c r="U25" s="7" t="s">
        <v>206</v>
      </c>
      <c r="V25" s="7" t="s">
        <v>207</v>
      </c>
      <c r="W25" s="7" t="s">
        <v>205</v>
      </c>
    </row>
    <row r="26" spans="1:24">
      <c r="A26" t="str">
        <f>B1</f>
        <v>Portugal</v>
      </c>
      <c r="B26">
        <f>I3+I5+I7</f>
        <v>0</v>
      </c>
      <c r="C26">
        <f>E3+E5+F7</f>
        <v>0</v>
      </c>
      <c r="D26">
        <f>F3+F5+E7</f>
        <v>0</v>
      </c>
      <c r="E26">
        <f>C26-D26</f>
        <v>0</v>
      </c>
      <c r="F26">
        <f>G3+G5+H7</f>
        <v>0</v>
      </c>
      <c r="G26">
        <f>E26/100</f>
        <v>0</v>
      </c>
      <c r="H26">
        <f>F26+G26</f>
        <v>0</v>
      </c>
      <c r="I26">
        <f>C26/10000</f>
        <v>0</v>
      </c>
      <c r="J26">
        <f>H26+I26</f>
        <v>0</v>
      </c>
      <c r="K26">
        <f>T18/100000</f>
        <v>3.0000000000000001E-5</v>
      </c>
      <c r="L26">
        <f>J26+K26</f>
        <v>3.0000000000000001E-5</v>
      </c>
      <c r="M26">
        <f>T11/1000000</f>
        <v>0</v>
      </c>
      <c r="N26">
        <f>L26+M26</f>
        <v>3.0000000000000001E-5</v>
      </c>
      <c r="O26">
        <f>T4/10000000</f>
        <v>0</v>
      </c>
      <c r="P26">
        <f>N26+O26</f>
        <v>3.0000000000000001E-5</v>
      </c>
      <c r="Q26" s="17">
        <f>IF(W28&gt;0,IF(A26=GrpF!I12,0.00000004,IF(A26=GrpF!I13,0.00000003,IF(A26=GrpF!I14,0.00000002,0.00000001))),0)</f>
        <v>0</v>
      </c>
      <c r="R26">
        <f>Q26+P26+0.000000004</f>
        <v>3.0003999999999999E-5</v>
      </c>
      <c r="S26">
        <f>RANK(R26,R$26:R$29)</f>
        <v>1</v>
      </c>
      <c r="T26">
        <f>ROUND(R26,0)</f>
        <v>0</v>
      </c>
      <c r="U26">
        <f>P26</f>
        <v>3.0000000000000001E-5</v>
      </c>
      <c r="V26">
        <f>RANK(P26,U$26:U$29)</f>
        <v>1</v>
      </c>
      <c r="W26">
        <f>COUNTIF(V26:V29,1)-1</f>
        <v>3</v>
      </c>
      <c r="X26" t="str">
        <f>IF(W$28&gt;0,A26,"")</f>
        <v/>
      </c>
    </row>
    <row r="27" spans="1:24">
      <c r="A27" t="str">
        <f>C1</f>
        <v>Iceland</v>
      </c>
      <c r="B27">
        <f>I3+I6+I8</f>
        <v>0</v>
      </c>
      <c r="C27">
        <f>F3+E6+F8</f>
        <v>0</v>
      </c>
      <c r="D27">
        <f>E3+F6+E8</f>
        <v>0</v>
      </c>
      <c r="E27">
        <f>C27-D27</f>
        <v>0</v>
      </c>
      <c r="F27">
        <f>H3+G6+H8</f>
        <v>0</v>
      </c>
      <c r="G27">
        <f>E27/100</f>
        <v>0</v>
      </c>
      <c r="H27">
        <f>F27+G27</f>
        <v>0</v>
      </c>
      <c r="I27">
        <f>C27/10000</f>
        <v>0</v>
      </c>
      <c r="J27">
        <f>H27+I27</f>
        <v>0</v>
      </c>
      <c r="K27">
        <f>T19/100000</f>
        <v>3.0000000000000001E-5</v>
      </c>
      <c r="L27">
        <f>J27+K27</f>
        <v>3.0000000000000001E-5</v>
      </c>
      <c r="M27">
        <f>T12/1000000</f>
        <v>0</v>
      </c>
      <c r="N27">
        <f>L27+M27</f>
        <v>3.0000000000000001E-5</v>
      </c>
      <c r="O27">
        <f>T5/10000000</f>
        <v>0</v>
      </c>
      <c r="P27">
        <f>N27+O27</f>
        <v>3.0000000000000001E-5</v>
      </c>
      <c r="Q27" s="17">
        <f>IF(W28&gt;0,IF(A27=GrpF!I12,0.00000004,IF(A27=GrpF!I13,0.00000003,IF(A27=GrpF!I14,0.00000002,0.00000001))),0)</f>
        <v>0</v>
      </c>
      <c r="R27">
        <f>Q27+P27+0.000000003</f>
        <v>3.0003000000000001E-5</v>
      </c>
      <c r="S27">
        <f>RANK(R27,R$26:R$29)</f>
        <v>2</v>
      </c>
      <c r="T27">
        <f>ROUND(R27,0)</f>
        <v>0</v>
      </c>
      <c r="U27">
        <f>P27</f>
        <v>3.0000000000000001E-5</v>
      </c>
      <c r="V27">
        <f>RANK(U27,U$26:U$29)</f>
        <v>1</v>
      </c>
      <c r="W27">
        <f>MAX(0,COUNTIF(V26:V29,2)-1)</f>
        <v>0</v>
      </c>
      <c r="X27" t="str">
        <f>IF(W$28&gt;0,A27,"")</f>
        <v/>
      </c>
    </row>
    <row r="28" spans="1:24">
      <c r="A28" t="str">
        <f>D1</f>
        <v>Austria</v>
      </c>
      <c r="B28">
        <f>I4+I5+I8</f>
        <v>0</v>
      </c>
      <c r="C28">
        <f>E4+F5+E8</f>
        <v>0</v>
      </c>
      <c r="D28">
        <f>F4+E5+F8</f>
        <v>0</v>
      </c>
      <c r="E28">
        <f>C28-D28</f>
        <v>0</v>
      </c>
      <c r="F28">
        <f>G4+H5+G8</f>
        <v>0</v>
      </c>
      <c r="G28">
        <f>E28/100</f>
        <v>0</v>
      </c>
      <c r="H28">
        <f>F28+G28</f>
        <v>0</v>
      </c>
      <c r="I28">
        <f>C28/10000</f>
        <v>0</v>
      </c>
      <c r="J28">
        <f>H28+I28</f>
        <v>0</v>
      </c>
      <c r="K28">
        <f>T20/100000</f>
        <v>3.0000000000000001E-5</v>
      </c>
      <c r="L28">
        <f>J28+K28</f>
        <v>3.0000000000000001E-5</v>
      </c>
      <c r="M28">
        <f>T13/1000000</f>
        <v>0</v>
      </c>
      <c r="N28">
        <f>L28+M28</f>
        <v>3.0000000000000001E-5</v>
      </c>
      <c r="O28">
        <f>T6/10000000</f>
        <v>0</v>
      </c>
      <c r="P28">
        <f>N28+O28</f>
        <v>3.0000000000000001E-5</v>
      </c>
      <c r="Q28" s="17">
        <f>IF(W28&gt;0,IF(A28=GrpF!I12,0.00000004,IF(A28=GrpF!I13,0.00000003,IF(A28=GrpF!I14,0.00000002,0.00000001))),0)</f>
        <v>0</v>
      </c>
      <c r="R28">
        <f>Q28+P28+0.000000002</f>
        <v>3.0002000000000002E-5</v>
      </c>
      <c r="S28">
        <f>RANK(R28,R$26:R$29)</f>
        <v>3</v>
      </c>
      <c r="T28">
        <f>ROUND(R28,0)</f>
        <v>0</v>
      </c>
      <c r="U28">
        <f>P28</f>
        <v>3.0000000000000001E-5</v>
      </c>
      <c r="V28">
        <f>RANK(U28,U$26:U$29)</f>
        <v>1</v>
      </c>
      <c r="W28">
        <f>IF(SUM(I3:I8)=6,SUM(W26:W27),0)</f>
        <v>0</v>
      </c>
      <c r="X28" t="str">
        <f>IF(W$28&gt;0,A28,"")</f>
        <v/>
      </c>
    </row>
    <row r="29" spans="1:24">
      <c r="A29" t="str">
        <f>E1</f>
        <v>Hungary</v>
      </c>
      <c r="B29">
        <f>I4+I6+I7</f>
        <v>0</v>
      </c>
      <c r="C29">
        <f>F4+F6+E7</f>
        <v>0</v>
      </c>
      <c r="D29">
        <f>E4+E6+F7</f>
        <v>0</v>
      </c>
      <c r="E29">
        <f>C29-D29</f>
        <v>0</v>
      </c>
      <c r="F29">
        <f>H4+H6+G7</f>
        <v>0</v>
      </c>
      <c r="G29">
        <f>E29/100</f>
        <v>0</v>
      </c>
      <c r="H29">
        <f>F29+G29</f>
        <v>0</v>
      </c>
      <c r="I29">
        <f>C29/10000</f>
        <v>0</v>
      </c>
      <c r="J29">
        <f>H29+I29</f>
        <v>0</v>
      </c>
      <c r="K29">
        <f>T21/100000</f>
        <v>3.0000000000000001E-5</v>
      </c>
      <c r="L29">
        <f>J29+K29</f>
        <v>3.0000000000000001E-5</v>
      </c>
      <c r="M29">
        <f>T14/1000000</f>
        <v>0</v>
      </c>
      <c r="N29">
        <f>L29+M29</f>
        <v>3.0000000000000001E-5</v>
      </c>
      <c r="O29">
        <f>T7/10000000</f>
        <v>0</v>
      </c>
      <c r="P29">
        <f>N29+O29</f>
        <v>3.0000000000000001E-5</v>
      </c>
      <c r="Q29" s="17">
        <f>IF(W28&gt;0,IF(A29=GrpF!I12,0.00000004,IF(A29=GrpF!I13,0.00000003,IF(A29=GrpF!I14,0.00000002,0.00000001))),0)</f>
        <v>0</v>
      </c>
      <c r="R29">
        <f>Q29+P29+0.000000001</f>
        <v>3.0001E-5</v>
      </c>
      <c r="S29">
        <f>RANK(R29,R$26:R$29)</f>
        <v>4</v>
      </c>
      <c r="T29">
        <f>ROUND(R29,0)</f>
        <v>0</v>
      </c>
      <c r="U29">
        <f>P29</f>
        <v>3.0000000000000001E-5</v>
      </c>
      <c r="V29">
        <f>RANK(U29,U$26:U$29)</f>
        <v>1</v>
      </c>
      <c r="X29" t="str">
        <f>IF(W$28&gt;0,A29,"")</f>
        <v/>
      </c>
    </row>
    <row r="31" spans="1:24">
      <c r="A31" t="str">
        <f t="shared" ref="A31:E31" si="2">A23</f>
        <v>A</v>
      </c>
      <c r="B31" t="str">
        <f t="shared" si="2"/>
        <v>B</v>
      </c>
      <c r="C31" t="str">
        <f t="shared" si="2"/>
        <v>C</v>
      </c>
      <c r="D31" t="str">
        <f t="shared" si="2"/>
        <v>D</v>
      </c>
      <c r="E31" t="str">
        <f t="shared" si="2"/>
        <v>E</v>
      </c>
      <c r="F31" t="str">
        <f>F23</f>
        <v>F</v>
      </c>
      <c r="G31" t="str">
        <f t="shared" ref="G31:T31" si="3">G23</f>
        <v>G</v>
      </c>
      <c r="H31" t="str">
        <f t="shared" si="3"/>
        <v>H</v>
      </c>
      <c r="I31" t="str">
        <f t="shared" si="3"/>
        <v>I</v>
      </c>
      <c r="J31" t="str">
        <f t="shared" si="3"/>
        <v>J</v>
      </c>
      <c r="K31" t="str">
        <f t="shared" si="3"/>
        <v>K</v>
      </c>
      <c r="L31" t="str">
        <f t="shared" si="3"/>
        <v>L</v>
      </c>
      <c r="M31" t="str">
        <f t="shared" si="3"/>
        <v>M</v>
      </c>
      <c r="N31" t="str">
        <f t="shared" si="3"/>
        <v>N</v>
      </c>
      <c r="O31" t="str">
        <f t="shared" si="3"/>
        <v>O</v>
      </c>
      <c r="P31" t="str">
        <f t="shared" si="3"/>
        <v>P</v>
      </c>
      <c r="Q31" t="str">
        <f t="shared" si="3"/>
        <v>Q</v>
      </c>
      <c r="R31" t="str">
        <f t="shared" si="3"/>
        <v>R</v>
      </c>
      <c r="S31" t="str">
        <f t="shared" si="3"/>
        <v>S</v>
      </c>
      <c r="T31" t="str">
        <f t="shared" si="3"/>
        <v>T</v>
      </c>
    </row>
  </sheetData>
  <mergeCells count="1">
    <mergeCell ref="K2:N2"/>
  </mergeCells>
  <dataValidations count="1">
    <dataValidation allowBlank="1" showErrorMessage="1" prompt="Used for Fifa lots if requried" sqref="I12:I15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0"/>
  <dimension ref="A1:X188"/>
  <sheetViews>
    <sheetView topLeftCell="B35" workbookViewId="0">
      <selection activeCell="H46" sqref="H46"/>
    </sheetView>
  </sheetViews>
  <sheetFormatPr defaultRowHeight="15"/>
  <cols>
    <col min="1" max="1" width="6.7109375" customWidth="1"/>
    <col min="2" max="2" width="8.7109375" bestFit="1" customWidth="1"/>
    <col min="3" max="3" width="15.5703125" bestFit="1" customWidth="1"/>
    <col min="4" max="4" width="4.7109375" bestFit="1" customWidth="1"/>
    <col min="5" max="5" width="10.5703125" bestFit="1" customWidth="1"/>
    <col min="6" max="6" width="11.7109375" bestFit="1" customWidth="1"/>
    <col min="7" max="7" width="15.7109375" bestFit="1" customWidth="1"/>
    <col min="8" max="8" width="16.5703125" bestFit="1" customWidth="1"/>
    <col min="9" max="9" width="11.28515625" bestFit="1" customWidth="1"/>
    <col min="10" max="10" width="17.42578125" bestFit="1" customWidth="1"/>
    <col min="11" max="11" width="16.7109375" bestFit="1" customWidth="1"/>
    <col min="12" max="12" width="28.28515625" bestFit="1" customWidth="1"/>
    <col min="13" max="13" width="14.42578125" bestFit="1" customWidth="1"/>
    <col min="14" max="14" width="7.140625" bestFit="1" customWidth="1"/>
    <col min="15" max="15" width="6.28515625" bestFit="1" customWidth="1"/>
  </cols>
  <sheetData>
    <row r="1" spans="1:19">
      <c r="A1" s="3" t="s">
        <v>71</v>
      </c>
      <c r="B1" s="3" t="s">
        <v>151</v>
      </c>
      <c r="C1" s="3" t="s">
        <v>72</v>
      </c>
      <c r="D1" s="3" t="s">
        <v>158</v>
      </c>
      <c r="E1" s="3" t="s">
        <v>73</v>
      </c>
      <c r="F1" s="3" t="s">
        <v>436</v>
      </c>
      <c r="G1" s="3" t="s">
        <v>107</v>
      </c>
      <c r="H1" s="3" t="s">
        <v>74</v>
      </c>
      <c r="I1" s="3" t="s">
        <v>75</v>
      </c>
      <c r="J1" s="3" t="s">
        <v>108</v>
      </c>
      <c r="K1" s="3" t="s">
        <v>76</v>
      </c>
      <c r="L1" s="3" t="s">
        <v>77</v>
      </c>
      <c r="M1" s="3" t="s">
        <v>78</v>
      </c>
      <c r="N1" s="3" t="s">
        <v>154</v>
      </c>
      <c r="O1" s="3" t="s">
        <v>155</v>
      </c>
    </row>
    <row r="2" spans="1:19">
      <c r="A2">
        <v>2</v>
      </c>
      <c r="B2" t="s">
        <v>72</v>
      </c>
      <c r="C2" t="str">
        <f>LEFT(G2,1)</f>
        <v>A</v>
      </c>
      <c r="D2" s="4">
        <f>E2</f>
        <v>42531</v>
      </c>
      <c r="E2" s="1">
        <v>42531</v>
      </c>
      <c r="F2" s="2">
        <v>0.875</v>
      </c>
      <c r="G2" t="s">
        <v>79</v>
      </c>
      <c r="H2" t="str">
        <f>VLOOKUP(G2,Config!$B$2:$C$33,2)</f>
        <v>France</v>
      </c>
      <c r="I2" t="s">
        <v>0</v>
      </c>
      <c r="J2" t="s">
        <v>1</v>
      </c>
      <c r="K2" t="str">
        <f>VLOOKUP(J2,Config!$B$2:$C$33,2)</f>
        <v>Romania</v>
      </c>
      <c r="L2" t="s">
        <v>433</v>
      </c>
      <c r="M2">
        <v>1</v>
      </c>
      <c r="N2" s="2">
        <f>F2-Time!H$1/24</f>
        <v>0.79166666666666663</v>
      </c>
      <c r="O2" s="2">
        <f>N2+1/24</f>
        <v>0.83333333333333326</v>
      </c>
    </row>
    <row r="3" spans="1:19">
      <c r="A3">
        <v>3</v>
      </c>
      <c r="B3" t="s">
        <v>72</v>
      </c>
      <c r="C3" t="str">
        <f t="shared" ref="C3:C37" si="0">LEFT(G3,1)</f>
        <v>A</v>
      </c>
      <c r="D3" s="4">
        <f t="shared" ref="D3:D53" si="1">E3</f>
        <v>42532</v>
      </c>
      <c r="E3" s="1">
        <v>42532</v>
      </c>
      <c r="F3" s="2">
        <v>0.625</v>
      </c>
      <c r="G3" t="s">
        <v>2</v>
      </c>
      <c r="H3" t="str">
        <f>VLOOKUP(G3,Config!$B$2:$C$33,2)</f>
        <v>Albania</v>
      </c>
      <c r="I3" t="s">
        <v>3</v>
      </c>
      <c r="J3" t="s">
        <v>4</v>
      </c>
      <c r="K3" t="str">
        <f>VLOOKUP(J3,Config!$B$2:$C$33,2)</f>
        <v>Switzerland</v>
      </c>
      <c r="L3" t="s">
        <v>427</v>
      </c>
      <c r="M3">
        <v>2</v>
      </c>
      <c r="N3" s="2">
        <f>F3-Time!H$1/24</f>
        <v>0.54166666666666663</v>
      </c>
      <c r="O3" s="2">
        <f t="shared" ref="O3:O53" si="2">N3+1/24</f>
        <v>0.58333333333333326</v>
      </c>
    </row>
    <row r="4" spans="1:19">
      <c r="A4">
        <v>4</v>
      </c>
      <c r="B4" t="s">
        <v>72</v>
      </c>
      <c r="C4" t="str">
        <f t="shared" si="0"/>
        <v>B</v>
      </c>
      <c r="D4" s="4">
        <f t="shared" si="1"/>
        <v>42532</v>
      </c>
      <c r="E4" s="1">
        <v>42532</v>
      </c>
      <c r="F4" s="2">
        <v>0.75</v>
      </c>
      <c r="G4" t="s">
        <v>12</v>
      </c>
      <c r="H4" t="str">
        <f>VLOOKUP(G4,Config!$B$2:$C$33,2)</f>
        <v>Wales</v>
      </c>
      <c r="I4" t="s">
        <v>10</v>
      </c>
      <c r="J4" t="s">
        <v>14</v>
      </c>
      <c r="K4" t="str">
        <f>VLOOKUP(J4,Config!$B$2:$C$33,2)</f>
        <v>Slovakia</v>
      </c>
      <c r="L4" t="s">
        <v>426</v>
      </c>
      <c r="M4">
        <v>3</v>
      </c>
      <c r="N4" s="2">
        <f>F4-Time!H$1/24</f>
        <v>0.66666666666666663</v>
      </c>
      <c r="O4" s="2">
        <f t="shared" si="2"/>
        <v>0.70833333333333326</v>
      </c>
    </row>
    <row r="5" spans="1:19">
      <c r="A5">
        <v>5</v>
      </c>
      <c r="B5" t="s">
        <v>72</v>
      </c>
      <c r="C5" t="str">
        <f t="shared" si="0"/>
        <v>B</v>
      </c>
      <c r="D5" s="4">
        <f t="shared" si="1"/>
        <v>42532</v>
      </c>
      <c r="E5" s="1">
        <v>42532</v>
      </c>
      <c r="F5" s="2">
        <v>0.875</v>
      </c>
      <c r="G5" t="s">
        <v>9</v>
      </c>
      <c r="H5" t="str">
        <f>VLOOKUP(G5,Config!$B$2:$C$33,2)</f>
        <v>England</v>
      </c>
      <c r="I5" t="s">
        <v>13</v>
      </c>
      <c r="J5" t="s">
        <v>11</v>
      </c>
      <c r="K5" t="str">
        <f>VLOOKUP(J5,Config!$B$2:$C$33,2)</f>
        <v>Russia</v>
      </c>
      <c r="L5" t="s">
        <v>430</v>
      </c>
      <c r="M5">
        <v>4</v>
      </c>
      <c r="N5" s="2">
        <f>F5-Time!H$1/24</f>
        <v>0.79166666666666663</v>
      </c>
      <c r="O5" s="2">
        <f t="shared" si="2"/>
        <v>0.83333333333333326</v>
      </c>
    </row>
    <row r="6" spans="1:19">
      <c r="A6">
        <v>6</v>
      </c>
      <c r="B6" t="s">
        <v>72</v>
      </c>
      <c r="C6" t="str">
        <f t="shared" si="0"/>
        <v>D</v>
      </c>
      <c r="D6" s="4">
        <f t="shared" si="1"/>
        <v>42533</v>
      </c>
      <c r="E6" s="1">
        <v>42533</v>
      </c>
      <c r="F6" s="2">
        <v>0.625</v>
      </c>
      <c r="G6" t="s">
        <v>32</v>
      </c>
      <c r="H6" t="str">
        <f>VLOOKUP(G6,Config!$B$2:$C$33,2)</f>
        <v>Turkey</v>
      </c>
      <c r="I6" t="s">
        <v>20</v>
      </c>
      <c r="J6" t="s">
        <v>34</v>
      </c>
      <c r="K6" t="str">
        <f>VLOOKUP(J6,Config!$B$2:$C$33,2)</f>
        <v>Croatia</v>
      </c>
      <c r="L6" t="s">
        <v>432</v>
      </c>
      <c r="M6">
        <v>5</v>
      </c>
      <c r="N6" s="2">
        <f>F6-Time!H$1/24</f>
        <v>0.54166666666666663</v>
      </c>
      <c r="O6" s="2">
        <f t="shared" si="2"/>
        <v>0.58333333333333326</v>
      </c>
      <c r="Q6" s="2">
        <v>0.75</v>
      </c>
      <c r="R6" t="s">
        <v>22</v>
      </c>
      <c r="S6" t="s">
        <v>24</v>
      </c>
    </row>
    <row r="7" spans="1:19">
      <c r="A7">
        <v>7</v>
      </c>
      <c r="B7" t="s">
        <v>72</v>
      </c>
      <c r="C7" t="str">
        <f t="shared" si="0"/>
        <v>C</v>
      </c>
      <c r="D7" s="4">
        <f t="shared" si="1"/>
        <v>42533</v>
      </c>
      <c r="E7" s="1">
        <v>42533</v>
      </c>
      <c r="F7" s="2">
        <v>0.75</v>
      </c>
      <c r="G7" t="s">
        <v>22</v>
      </c>
      <c r="H7" t="str">
        <f>VLOOKUP(G7,Config!$B$2:$C$33,2)</f>
        <v>Poland</v>
      </c>
      <c r="I7" t="s">
        <v>30</v>
      </c>
      <c r="J7" t="s">
        <v>24</v>
      </c>
      <c r="K7" t="str">
        <f>VLOOKUP(J7,Config!$B$2:$C$33,2)</f>
        <v>N Ireland</v>
      </c>
      <c r="L7" t="s">
        <v>431</v>
      </c>
      <c r="M7">
        <v>6</v>
      </c>
      <c r="N7" s="2">
        <f>F7-Time!H$1/24</f>
        <v>0.66666666666666663</v>
      </c>
      <c r="O7" s="2">
        <f t="shared" si="2"/>
        <v>0.70833333333333326</v>
      </c>
    </row>
    <row r="8" spans="1:19">
      <c r="A8">
        <v>8</v>
      </c>
      <c r="B8" t="s">
        <v>72</v>
      </c>
      <c r="C8" t="str">
        <f t="shared" si="0"/>
        <v>C</v>
      </c>
      <c r="D8" s="4">
        <f t="shared" si="1"/>
        <v>42533</v>
      </c>
      <c r="E8" s="1">
        <v>42533</v>
      </c>
      <c r="F8" s="2">
        <v>0.875</v>
      </c>
      <c r="G8" t="s">
        <v>19</v>
      </c>
      <c r="H8" t="str">
        <f>VLOOKUP(G8,Config!$B$2:$C$33,2)</f>
        <v>Germany</v>
      </c>
      <c r="I8" t="s">
        <v>23</v>
      </c>
      <c r="J8" t="s">
        <v>21</v>
      </c>
      <c r="K8" t="str">
        <f>VLOOKUP(J8,Config!$B$2:$C$33,2)</f>
        <v>Ukraine</v>
      </c>
      <c r="L8" t="s">
        <v>428</v>
      </c>
      <c r="M8">
        <v>7</v>
      </c>
      <c r="N8" s="2">
        <f>F8-Time!H$1/24</f>
        <v>0.79166666666666663</v>
      </c>
      <c r="O8" s="2">
        <f t="shared" si="2"/>
        <v>0.83333333333333326</v>
      </c>
    </row>
    <row r="9" spans="1:19">
      <c r="A9">
        <v>9</v>
      </c>
      <c r="B9" t="s">
        <v>72</v>
      </c>
      <c r="C9" t="str">
        <f t="shared" si="0"/>
        <v>D</v>
      </c>
      <c r="D9" s="4">
        <f t="shared" si="1"/>
        <v>42534</v>
      </c>
      <c r="E9" s="1">
        <v>42534</v>
      </c>
      <c r="F9" s="2">
        <v>0.625</v>
      </c>
      <c r="G9" t="s">
        <v>29</v>
      </c>
      <c r="H9" t="str">
        <f>VLOOKUP(G9,Config!$B$2:$C$33,2)</f>
        <v>Spain</v>
      </c>
      <c r="I9" t="s">
        <v>33</v>
      </c>
      <c r="J9" t="s">
        <v>31</v>
      </c>
      <c r="K9" t="str">
        <f>VLOOKUP(J9,Config!$B$2:$C$33,2)</f>
        <v>Czech Rep</v>
      </c>
      <c r="L9" t="s">
        <v>435</v>
      </c>
      <c r="M9">
        <v>8</v>
      </c>
      <c r="N9" s="2">
        <f>F9-Time!H$1/24</f>
        <v>0.54166666666666663</v>
      </c>
      <c r="O9" s="2">
        <f t="shared" si="2"/>
        <v>0.58333333333333326</v>
      </c>
    </row>
    <row r="10" spans="1:19">
      <c r="A10">
        <v>10</v>
      </c>
      <c r="B10" t="s">
        <v>72</v>
      </c>
      <c r="C10" t="str">
        <f t="shared" si="0"/>
        <v>E</v>
      </c>
      <c r="D10" s="4">
        <f t="shared" si="1"/>
        <v>42534</v>
      </c>
      <c r="E10" s="1">
        <v>42534</v>
      </c>
      <c r="F10" s="2">
        <v>0.75</v>
      </c>
      <c r="G10" t="s">
        <v>42</v>
      </c>
      <c r="H10" t="str">
        <f>VLOOKUP(G10,Config!$B$2:$C$33,2)</f>
        <v>Rep Ireland</v>
      </c>
      <c r="I10" t="s">
        <v>40</v>
      </c>
      <c r="J10" t="s">
        <v>44</v>
      </c>
      <c r="K10" t="str">
        <f>VLOOKUP(J10,Config!$B$2:$C$33,2)</f>
        <v>Sweden</v>
      </c>
      <c r="L10" t="s">
        <v>433</v>
      </c>
      <c r="M10">
        <v>9</v>
      </c>
      <c r="N10" s="2">
        <f>F10-Time!H$1/24</f>
        <v>0.66666666666666663</v>
      </c>
      <c r="O10" s="2">
        <f t="shared" si="2"/>
        <v>0.70833333333333326</v>
      </c>
    </row>
    <row r="11" spans="1:19">
      <c r="A11">
        <v>11</v>
      </c>
      <c r="B11" t="s">
        <v>72</v>
      </c>
      <c r="C11" t="str">
        <f t="shared" si="0"/>
        <v>E</v>
      </c>
      <c r="D11" s="4">
        <f t="shared" si="1"/>
        <v>42534</v>
      </c>
      <c r="E11" s="1">
        <v>42534</v>
      </c>
      <c r="F11" s="2">
        <v>0.875</v>
      </c>
      <c r="G11" t="s">
        <v>39</v>
      </c>
      <c r="H11" t="str">
        <f>VLOOKUP(G11,Config!$B$2:$C$33,2)</f>
        <v>Belgium</v>
      </c>
      <c r="I11" t="s">
        <v>43</v>
      </c>
      <c r="J11" t="s">
        <v>41</v>
      </c>
      <c r="K11" t="str">
        <f>VLOOKUP(J11,Config!$B$2:$C$33,2)</f>
        <v>Italy</v>
      </c>
      <c r="L11" t="s">
        <v>429</v>
      </c>
      <c r="M11">
        <v>10</v>
      </c>
      <c r="N11" s="2">
        <f>F11-Time!H$1/24</f>
        <v>0.79166666666666663</v>
      </c>
      <c r="O11" s="2">
        <f t="shared" si="2"/>
        <v>0.83333333333333326</v>
      </c>
    </row>
    <row r="12" spans="1:19">
      <c r="A12">
        <v>12</v>
      </c>
      <c r="B12" t="s">
        <v>72</v>
      </c>
      <c r="C12" t="str">
        <f t="shared" si="0"/>
        <v>F</v>
      </c>
      <c r="D12" s="4">
        <f t="shared" si="1"/>
        <v>42535</v>
      </c>
      <c r="E12" s="1">
        <v>42535</v>
      </c>
      <c r="F12" s="2">
        <v>0.75</v>
      </c>
      <c r="G12" t="s">
        <v>52</v>
      </c>
      <c r="H12" t="str">
        <f>VLOOKUP(G12,Config!$B$2:$C$33,2)</f>
        <v>Austria</v>
      </c>
      <c r="I12" t="s">
        <v>50</v>
      </c>
      <c r="J12" t="s">
        <v>54</v>
      </c>
      <c r="K12" t="str">
        <f>VLOOKUP(J12,Config!$B$2:$C$33,2)</f>
        <v>Hungary</v>
      </c>
      <c r="L12" t="s">
        <v>426</v>
      </c>
      <c r="M12">
        <v>11</v>
      </c>
      <c r="N12" s="2">
        <f>F12-Time!H$1/24</f>
        <v>0.66666666666666663</v>
      </c>
      <c r="O12" s="2">
        <f t="shared" si="2"/>
        <v>0.70833333333333326</v>
      </c>
    </row>
    <row r="13" spans="1:19">
      <c r="A13">
        <v>14</v>
      </c>
      <c r="B13" t="s">
        <v>72</v>
      </c>
      <c r="C13" t="str">
        <f t="shared" si="0"/>
        <v>F</v>
      </c>
      <c r="D13" s="4">
        <f t="shared" si="1"/>
        <v>42535</v>
      </c>
      <c r="E13" s="1">
        <v>42535</v>
      </c>
      <c r="F13" s="2">
        <v>0.875</v>
      </c>
      <c r="G13" t="s">
        <v>49</v>
      </c>
      <c r="H13" t="str">
        <f>VLOOKUP(G13,Config!$B$2:$C$33,2)</f>
        <v>Portugal</v>
      </c>
      <c r="I13" t="s">
        <v>53</v>
      </c>
      <c r="J13" t="s">
        <v>51</v>
      </c>
      <c r="K13" t="str">
        <f>VLOOKUP(J13,Config!$B$2:$C$33,2)</f>
        <v>Iceland</v>
      </c>
      <c r="L13" t="s">
        <v>434</v>
      </c>
      <c r="M13">
        <v>13</v>
      </c>
      <c r="N13" s="2">
        <f>F13-Time!H$1/24</f>
        <v>0.79166666666666663</v>
      </c>
      <c r="O13" s="2">
        <f t="shared" si="2"/>
        <v>0.83333333333333326</v>
      </c>
    </row>
    <row r="14" spans="1:19">
      <c r="A14">
        <v>17</v>
      </c>
      <c r="B14" t="s">
        <v>72</v>
      </c>
      <c r="C14" t="str">
        <f t="shared" si="0"/>
        <v>B</v>
      </c>
      <c r="D14" s="4">
        <f t="shared" si="1"/>
        <v>42536</v>
      </c>
      <c r="E14" s="1">
        <v>42536</v>
      </c>
      <c r="F14" s="2">
        <v>0.625</v>
      </c>
      <c r="G14" t="s">
        <v>11</v>
      </c>
      <c r="H14" t="str">
        <f>VLOOKUP(G14,Config!$B$2:$C$33,2)</f>
        <v>Russia</v>
      </c>
      <c r="I14" t="s">
        <v>5</v>
      </c>
      <c r="J14" t="s">
        <v>14</v>
      </c>
      <c r="K14" t="str">
        <f>VLOOKUP(J14,Config!$B$2:$C$33,2)</f>
        <v>Slovakia</v>
      </c>
      <c r="L14" t="s">
        <v>428</v>
      </c>
      <c r="M14">
        <v>16</v>
      </c>
      <c r="N14" s="2">
        <f>F14-Time!H$1/24</f>
        <v>0.54166666666666663</v>
      </c>
      <c r="O14" s="2">
        <f t="shared" si="2"/>
        <v>0.58333333333333326</v>
      </c>
      <c r="Q14" s="2">
        <v>0.75</v>
      </c>
      <c r="R14" t="s">
        <v>1</v>
      </c>
      <c r="S14" t="s">
        <v>82</v>
      </c>
    </row>
    <row r="15" spans="1:19">
      <c r="A15">
        <v>19</v>
      </c>
      <c r="B15" t="s">
        <v>72</v>
      </c>
      <c r="C15" t="str">
        <f t="shared" si="0"/>
        <v>A</v>
      </c>
      <c r="D15" s="4">
        <f t="shared" si="1"/>
        <v>42536</v>
      </c>
      <c r="E15" s="1">
        <v>42536</v>
      </c>
      <c r="F15" s="2">
        <v>0.75</v>
      </c>
      <c r="G15" t="s">
        <v>1</v>
      </c>
      <c r="H15" t="str">
        <f>VLOOKUP(G15,Config!$B$2:$C$33,2)</f>
        <v>Romania</v>
      </c>
      <c r="I15" t="s">
        <v>16</v>
      </c>
      <c r="J15" t="s">
        <v>4</v>
      </c>
      <c r="K15" t="str">
        <f>VLOOKUP(J15,Config!$B$2:$C$33,2)</f>
        <v>Switzerland</v>
      </c>
      <c r="L15" t="s">
        <v>432</v>
      </c>
      <c r="M15">
        <v>18</v>
      </c>
      <c r="N15" s="2">
        <f>F15-Time!H$1/24</f>
        <v>0.66666666666666663</v>
      </c>
      <c r="O15" s="2">
        <f t="shared" si="2"/>
        <v>0.70833333333333326</v>
      </c>
      <c r="Q15" t="s">
        <v>428</v>
      </c>
    </row>
    <row r="16" spans="1:19">
      <c r="A16">
        <v>20</v>
      </c>
      <c r="B16" t="s">
        <v>72</v>
      </c>
      <c r="C16" t="str">
        <f t="shared" si="0"/>
        <v>A</v>
      </c>
      <c r="D16" s="4">
        <f t="shared" si="1"/>
        <v>42536</v>
      </c>
      <c r="E16" s="1">
        <v>42536</v>
      </c>
      <c r="F16" s="2">
        <v>0.875</v>
      </c>
      <c r="G16" t="s">
        <v>79</v>
      </c>
      <c r="H16" t="str">
        <f>VLOOKUP(G16,Config!$B$2:$C$33,2)</f>
        <v>France</v>
      </c>
      <c r="I16" t="s">
        <v>6</v>
      </c>
      <c r="J16" t="s">
        <v>2</v>
      </c>
      <c r="K16" t="str">
        <f>VLOOKUP(J16,Config!$B$2:$C$33,2)</f>
        <v>Albania</v>
      </c>
      <c r="L16" t="s">
        <v>430</v>
      </c>
      <c r="M16">
        <v>19</v>
      </c>
      <c r="N16" s="2">
        <f>F16-Time!H$1/24</f>
        <v>0.79166666666666663</v>
      </c>
      <c r="O16" s="2">
        <f t="shared" si="2"/>
        <v>0.83333333333333326</v>
      </c>
    </row>
    <row r="17" spans="1:24">
      <c r="A17">
        <v>21</v>
      </c>
      <c r="B17" t="s">
        <v>72</v>
      </c>
      <c r="C17" t="str">
        <f t="shared" si="0"/>
        <v>B</v>
      </c>
      <c r="D17" s="4">
        <f t="shared" si="1"/>
        <v>42537</v>
      </c>
      <c r="E17" s="1">
        <v>42537</v>
      </c>
      <c r="F17" s="2">
        <v>0.625</v>
      </c>
      <c r="G17" t="s">
        <v>9</v>
      </c>
      <c r="H17" t="str">
        <f>VLOOKUP(G17,Config!$B$2:$C$33,2)</f>
        <v>England</v>
      </c>
      <c r="I17" t="s">
        <v>15</v>
      </c>
      <c r="J17" t="s">
        <v>12</v>
      </c>
      <c r="K17" t="str">
        <f>VLOOKUP(J17,Config!$B$2:$C$33,2)</f>
        <v>Wales</v>
      </c>
      <c r="L17" t="s">
        <v>427</v>
      </c>
      <c r="M17">
        <v>20</v>
      </c>
      <c r="N17" s="2">
        <f>F17-Time!H$1/24</f>
        <v>0.54166666666666663</v>
      </c>
      <c r="O17" s="2">
        <f t="shared" si="2"/>
        <v>0.58333333333333326</v>
      </c>
    </row>
    <row r="18" spans="1:24">
      <c r="A18">
        <v>22</v>
      </c>
      <c r="B18" t="s">
        <v>72</v>
      </c>
      <c r="C18" t="str">
        <f t="shared" si="0"/>
        <v>C</v>
      </c>
      <c r="D18" s="4">
        <f t="shared" si="1"/>
        <v>42537</v>
      </c>
      <c r="E18" s="1">
        <v>42537</v>
      </c>
      <c r="F18" s="2">
        <v>0.75</v>
      </c>
      <c r="G18" t="s">
        <v>21</v>
      </c>
      <c r="H18" t="str">
        <f>VLOOKUP(G18,Config!$B$2:$C$33,2)</f>
        <v>Ukraine</v>
      </c>
      <c r="I18" t="s">
        <v>25</v>
      </c>
      <c r="J18" t="s">
        <v>24</v>
      </c>
      <c r="K18" t="str">
        <f>VLOOKUP(J18,Config!$B$2:$C$33,2)</f>
        <v>N Ireland</v>
      </c>
      <c r="L18" t="s">
        <v>429</v>
      </c>
      <c r="M18">
        <v>21</v>
      </c>
      <c r="N18" s="2">
        <f>F18-Time!H$1/24</f>
        <v>0.66666666666666663</v>
      </c>
      <c r="O18" s="2">
        <f t="shared" si="2"/>
        <v>0.70833333333333326</v>
      </c>
    </row>
    <row r="19" spans="1:24">
      <c r="A19">
        <v>23</v>
      </c>
      <c r="B19" t="s">
        <v>72</v>
      </c>
      <c r="C19" t="str">
        <f t="shared" si="0"/>
        <v>C</v>
      </c>
      <c r="D19" s="4">
        <f t="shared" si="1"/>
        <v>42537</v>
      </c>
      <c r="E19" s="1">
        <v>42537</v>
      </c>
      <c r="F19" s="2">
        <v>0.875</v>
      </c>
      <c r="G19" t="s">
        <v>19</v>
      </c>
      <c r="H19" t="str">
        <f>VLOOKUP(G19,Config!$B$2:$C$33,2)</f>
        <v>Germany</v>
      </c>
      <c r="I19" t="s">
        <v>35</v>
      </c>
      <c r="J19" t="s">
        <v>22</v>
      </c>
      <c r="K19" t="str">
        <f>VLOOKUP(J19,Config!$B$2:$C$33,2)</f>
        <v>Poland</v>
      </c>
      <c r="L19" t="s">
        <v>433</v>
      </c>
      <c r="M19">
        <v>22</v>
      </c>
      <c r="N19" s="2">
        <f>F19-Time!H$1/24</f>
        <v>0.79166666666666663</v>
      </c>
      <c r="O19" s="2">
        <f t="shared" si="2"/>
        <v>0.83333333333333326</v>
      </c>
      <c r="Q19" s="1">
        <v>42538</v>
      </c>
      <c r="R19" s="2">
        <v>0.75</v>
      </c>
      <c r="S19" t="s">
        <v>31</v>
      </c>
      <c r="T19" t="str">
        <f>VLOOKUP(S19,Config!$B$2:$C$33,2)</f>
        <v>Czech Rep</v>
      </c>
      <c r="U19" t="s">
        <v>35</v>
      </c>
      <c r="V19" t="s">
        <v>34</v>
      </c>
      <c r="W19" t="str">
        <f>VLOOKUP(V19,Config!$B$2:$C$33,2)</f>
        <v>Croatia</v>
      </c>
      <c r="X19" t="s">
        <v>434</v>
      </c>
    </row>
    <row r="20" spans="1:24">
      <c r="A20">
        <v>24</v>
      </c>
      <c r="B20" t="s">
        <v>72</v>
      </c>
      <c r="C20" t="str">
        <f t="shared" si="0"/>
        <v>E</v>
      </c>
      <c r="D20" s="4">
        <f t="shared" si="1"/>
        <v>42538</v>
      </c>
      <c r="E20" s="1">
        <v>42538</v>
      </c>
      <c r="F20" s="2">
        <v>0.625</v>
      </c>
      <c r="G20" t="s">
        <v>41</v>
      </c>
      <c r="H20" t="str">
        <f>VLOOKUP(G20,Config!$B$2:$C$33,2)</f>
        <v>Italy</v>
      </c>
      <c r="I20" t="s">
        <v>45</v>
      </c>
      <c r="J20" t="s">
        <v>44</v>
      </c>
      <c r="K20" t="str">
        <f>VLOOKUP(J20,Config!$B$2:$C$33,2)</f>
        <v>Sweden</v>
      </c>
      <c r="L20" t="s">
        <v>435</v>
      </c>
      <c r="M20">
        <v>23</v>
      </c>
      <c r="N20" s="2">
        <f>F20-Time!H$1/24</f>
        <v>0.54166666666666663</v>
      </c>
      <c r="O20" s="2">
        <f t="shared" si="2"/>
        <v>0.58333333333333326</v>
      </c>
      <c r="Q20" s="1">
        <v>42537</v>
      </c>
      <c r="R20" s="2">
        <v>0.875</v>
      </c>
      <c r="S20" t="s">
        <v>19</v>
      </c>
      <c r="T20" t="str">
        <f>VLOOKUP(S20,Config!$B$2:$C$33,2)</f>
        <v>Germany</v>
      </c>
      <c r="U20" t="s">
        <v>26</v>
      </c>
      <c r="V20" t="s">
        <v>22</v>
      </c>
      <c r="W20" t="str">
        <f>VLOOKUP(V20,Config!$B$2:$C$33,2)</f>
        <v>Poland</v>
      </c>
      <c r="X20" t="s">
        <v>433</v>
      </c>
    </row>
    <row r="21" spans="1:24">
      <c r="A21">
        <v>25</v>
      </c>
      <c r="B21" t="s">
        <v>72</v>
      </c>
      <c r="C21" t="str">
        <f t="shared" si="0"/>
        <v>D</v>
      </c>
      <c r="D21" s="4">
        <f t="shared" si="1"/>
        <v>42538</v>
      </c>
      <c r="E21" s="1">
        <v>42538</v>
      </c>
      <c r="F21" s="2">
        <v>0.75</v>
      </c>
      <c r="G21" t="s">
        <v>31</v>
      </c>
      <c r="H21" t="str">
        <f>VLOOKUP(G21,Config!$B$2:$C$33,2)</f>
        <v>Czech Rep</v>
      </c>
      <c r="I21" t="s">
        <v>35</v>
      </c>
      <c r="J21" t="s">
        <v>34</v>
      </c>
      <c r="K21" t="str">
        <f>VLOOKUP(J21,Config!$B$2:$C$33,2)</f>
        <v>Croatia</v>
      </c>
      <c r="L21" t="s">
        <v>434</v>
      </c>
      <c r="M21">
        <v>24</v>
      </c>
      <c r="N21" s="2">
        <f>F21-Time!H$1/24</f>
        <v>0.66666666666666663</v>
      </c>
      <c r="O21" s="2">
        <f t="shared" si="2"/>
        <v>0.70833333333333326</v>
      </c>
      <c r="Q21" s="1">
        <v>42538</v>
      </c>
      <c r="R21" s="2">
        <v>0.875</v>
      </c>
      <c r="S21" t="s">
        <v>29</v>
      </c>
      <c r="T21" t="str">
        <f>VLOOKUP(S21,Config!$B$2:$C$33,2)</f>
        <v>Spain</v>
      </c>
      <c r="U21" t="s">
        <v>36</v>
      </c>
      <c r="V21" t="s">
        <v>32</v>
      </c>
      <c r="W21" t="str">
        <f>VLOOKUP(V21,Config!$B$2:$C$33,2)</f>
        <v>Turkey</v>
      </c>
      <c r="X21" t="s">
        <v>431</v>
      </c>
    </row>
    <row r="22" spans="1:24">
      <c r="A22">
        <v>26</v>
      </c>
      <c r="B22" t="s">
        <v>72</v>
      </c>
      <c r="C22" t="str">
        <f t="shared" si="0"/>
        <v>D</v>
      </c>
      <c r="D22" s="4">
        <f t="shared" si="1"/>
        <v>42538</v>
      </c>
      <c r="E22" s="1">
        <v>42538</v>
      </c>
      <c r="F22" s="2">
        <v>0.875</v>
      </c>
      <c r="G22" t="s">
        <v>29</v>
      </c>
      <c r="H22" t="str">
        <f>VLOOKUP(G22,Config!$B$2:$C$33,2)</f>
        <v>Spain</v>
      </c>
      <c r="I22" t="s">
        <v>36</v>
      </c>
      <c r="J22" t="s">
        <v>32</v>
      </c>
      <c r="K22" t="str">
        <f>VLOOKUP(J22,Config!$B$2:$C$33,2)</f>
        <v>Turkey</v>
      </c>
      <c r="L22" t="s">
        <v>431</v>
      </c>
      <c r="M22">
        <v>25</v>
      </c>
      <c r="N22" s="2">
        <f>F22-Time!H$1/24</f>
        <v>0.79166666666666663</v>
      </c>
      <c r="O22" s="2">
        <f t="shared" si="2"/>
        <v>0.83333333333333326</v>
      </c>
      <c r="Q22" s="1">
        <v>42538</v>
      </c>
      <c r="R22" s="2">
        <v>0.625</v>
      </c>
      <c r="S22" t="s">
        <v>41</v>
      </c>
      <c r="T22" t="str">
        <f>VLOOKUP(S22,Config!$B$2:$C$33,2)</f>
        <v>Italy</v>
      </c>
      <c r="U22" t="s">
        <v>45</v>
      </c>
      <c r="V22" t="s">
        <v>44</v>
      </c>
      <c r="W22" t="str">
        <f>VLOOKUP(V22,Config!$B$2:$C$33,2)</f>
        <v>Sweden</v>
      </c>
      <c r="X22" t="s">
        <v>435</v>
      </c>
    </row>
    <row r="23" spans="1:24">
      <c r="A23">
        <v>27</v>
      </c>
      <c r="B23" t="s">
        <v>72</v>
      </c>
      <c r="C23" t="str">
        <f t="shared" si="0"/>
        <v>E</v>
      </c>
      <c r="D23" s="4">
        <f t="shared" si="1"/>
        <v>42539</v>
      </c>
      <c r="E23" s="1">
        <v>42539</v>
      </c>
      <c r="F23" s="2">
        <v>0.625</v>
      </c>
      <c r="G23" t="s">
        <v>39</v>
      </c>
      <c r="H23" t="str">
        <f>VLOOKUP(G23,Config!$B$2:$C$33,2)</f>
        <v>Belgium</v>
      </c>
      <c r="I23" t="s">
        <v>46</v>
      </c>
      <c r="J23" t="s">
        <v>42</v>
      </c>
      <c r="K23" t="str">
        <f>VLOOKUP(J23,Config!$B$2:$C$33,2)</f>
        <v>Rep Ireland</v>
      </c>
      <c r="L23" t="s">
        <v>426</v>
      </c>
      <c r="M23">
        <v>26</v>
      </c>
      <c r="N23" s="2">
        <f>F23-Time!H$1/24</f>
        <v>0.54166666666666663</v>
      </c>
      <c r="O23" s="2">
        <f t="shared" si="2"/>
        <v>0.58333333333333326</v>
      </c>
    </row>
    <row r="24" spans="1:24">
      <c r="A24">
        <v>28</v>
      </c>
      <c r="B24" t="s">
        <v>72</v>
      </c>
      <c r="C24" t="str">
        <f t="shared" si="0"/>
        <v>F</v>
      </c>
      <c r="D24" s="4">
        <f t="shared" si="1"/>
        <v>42539</v>
      </c>
      <c r="E24" s="1">
        <v>42539</v>
      </c>
      <c r="F24" s="2">
        <v>0.75</v>
      </c>
      <c r="G24" t="s">
        <v>51</v>
      </c>
      <c r="H24" t="str">
        <f>VLOOKUP(G24,Config!$B$2:$C$33,2)</f>
        <v>Iceland</v>
      </c>
      <c r="I24" t="s">
        <v>55</v>
      </c>
      <c r="J24" t="s">
        <v>54</v>
      </c>
      <c r="K24" t="str">
        <f>VLOOKUP(J24,Config!$B$2:$C$33,2)</f>
        <v>Hungary</v>
      </c>
      <c r="L24" t="s">
        <v>430</v>
      </c>
      <c r="M24">
        <v>27</v>
      </c>
      <c r="N24" s="2">
        <f>F24-Time!H$1/24</f>
        <v>0.66666666666666663</v>
      </c>
      <c r="O24" s="2">
        <f t="shared" si="2"/>
        <v>0.70833333333333326</v>
      </c>
    </row>
    <row r="25" spans="1:24">
      <c r="A25">
        <v>30</v>
      </c>
      <c r="B25" t="s">
        <v>72</v>
      </c>
      <c r="C25" t="str">
        <f t="shared" si="0"/>
        <v>F</v>
      </c>
      <c r="D25" s="4">
        <f t="shared" si="1"/>
        <v>42539</v>
      </c>
      <c r="E25" s="1">
        <v>42539</v>
      </c>
      <c r="F25" s="2">
        <v>0.875</v>
      </c>
      <c r="G25" t="s">
        <v>49</v>
      </c>
      <c r="H25" t="str">
        <f>VLOOKUP(G25,Config!$B$2:$C$33,2)</f>
        <v>Portugal</v>
      </c>
      <c r="I25" t="s">
        <v>56</v>
      </c>
      <c r="J25" t="s">
        <v>52</v>
      </c>
      <c r="K25" t="str">
        <f>VLOOKUP(J25,Config!$B$2:$C$33,2)</f>
        <v>Austria</v>
      </c>
      <c r="L25" t="s">
        <v>432</v>
      </c>
      <c r="M25">
        <v>29</v>
      </c>
      <c r="N25" s="2">
        <f>F25-Time!H$1/24</f>
        <v>0.79166666666666663</v>
      </c>
      <c r="O25" s="2">
        <f t="shared" si="2"/>
        <v>0.83333333333333326</v>
      </c>
    </row>
    <row r="26" spans="1:24">
      <c r="A26">
        <v>34</v>
      </c>
      <c r="B26" t="s">
        <v>72</v>
      </c>
      <c r="C26" t="str">
        <f t="shared" si="0"/>
        <v>A</v>
      </c>
      <c r="D26" s="4">
        <f t="shared" si="1"/>
        <v>42540</v>
      </c>
      <c r="E26" s="1">
        <v>42540</v>
      </c>
      <c r="F26" s="2">
        <v>0.875</v>
      </c>
      <c r="G26" t="s">
        <v>1</v>
      </c>
      <c r="H26" t="str">
        <f>VLOOKUP(G26,Config!$B$2:$C$33,2)</f>
        <v>Romania</v>
      </c>
      <c r="I26" t="s">
        <v>7</v>
      </c>
      <c r="J26" t="s">
        <v>2</v>
      </c>
      <c r="K26" t="str">
        <f>VLOOKUP(J26,Config!$B$2:$C$33,2)</f>
        <v>Albania</v>
      </c>
      <c r="L26" t="s">
        <v>429</v>
      </c>
      <c r="M26">
        <v>33</v>
      </c>
      <c r="N26" s="2">
        <f>F26-Time!H$1/24</f>
        <v>0.79166666666666663</v>
      </c>
      <c r="O26" s="2">
        <f t="shared" si="2"/>
        <v>0.83333333333333326</v>
      </c>
      <c r="Q26" s="1">
        <v>42540</v>
      </c>
      <c r="R26" s="2">
        <v>0.875</v>
      </c>
      <c r="S26" t="s">
        <v>1</v>
      </c>
      <c r="T26" t="str">
        <f>VLOOKUP(S26,Config!$B$2:$C$33,2)</f>
        <v>Romania</v>
      </c>
      <c r="U26" t="s">
        <v>7</v>
      </c>
      <c r="V26" t="s">
        <v>2</v>
      </c>
      <c r="W26" t="str">
        <f>VLOOKUP(V26,Config!$B$2:$C$33,2)</f>
        <v>Albania</v>
      </c>
      <c r="X26" t="s">
        <v>429</v>
      </c>
    </row>
    <row r="27" spans="1:24">
      <c r="A27">
        <v>35</v>
      </c>
      <c r="B27" t="s">
        <v>72</v>
      </c>
      <c r="C27" t="str">
        <f t="shared" si="0"/>
        <v>A</v>
      </c>
      <c r="D27" s="4">
        <f t="shared" si="1"/>
        <v>42540</v>
      </c>
      <c r="E27" s="1">
        <v>42540</v>
      </c>
      <c r="F27" s="2">
        <v>0.875</v>
      </c>
      <c r="G27" t="s">
        <v>82</v>
      </c>
      <c r="H27" t="str">
        <f>VLOOKUP(G27,Config!$B$2:$C$33,2)</f>
        <v>Switzerland</v>
      </c>
      <c r="I27" t="s">
        <v>8</v>
      </c>
      <c r="J27" t="s">
        <v>79</v>
      </c>
      <c r="K27" t="str">
        <f>VLOOKUP(J27,Config!$B$2:$C$33,2)</f>
        <v>France</v>
      </c>
      <c r="L27" t="s">
        <v>428</v>
      </c>
      <c r="M27">
        <v>34</v>
      </c>
      <c r="N27" s="2">
        <f>F27-Time!H$1/24</f>
        <v>0.79166666666666663</v>
      </c>
      <c r="O27" s="2">
        <f t="shared" si="2"/>
        <v>0.83333333333333326</v>
      </c>
      <c r="Q27" s="1">
        <v>42540</v>
      </c>
      <c r="R27" s="2">
        <v>0.875</v>
      </c>
      <c r="S27" t="s">
        <v>82</v>
      </c>
      <c r="T27" t="str">
        <f>VLOOKUP(S27,Config!$B$2:$C$33,2)</f>
        <v>Switzerland</v>
      </c>
      <c r="U27" t="s">
        <v>8</v>
      </c>
      <c r="V27" t="s">
        <v>79</v>
      </c>
      <c r="W27" t="str">
        <f>VLOOKUP(V27,Config!$B$2:$C$33,2)</f>
        <v>France</v>
      </c>
      <c r="X27" t="s">
        <v>428</v>
      </c>
    </row>
    <row r="28" spans="1:24">
      <c r="A28">
        <v>36</v>
      </c>
      <c r="B28" t="s">
        <v>72</v>
      </c>
      <c r="C28" t="str">
        <f t="shared" si="0"/>
        <v>B</v>
      </c>
      <c r="D28" s="4">
        <f t="shared" si="1"/>
        <v>42541</v>
      </c>
      <c r="E28" s="1">
        <v>42541</v>
      </c>
      <c r="F28" s="2">
        <v>0.875</v>
      </c>
      <c r="G28" t="s">
        <v>11</v>
      </c>
      <c r="H28" t="str">
        <f>VLOOKUP(G28,Config!$B$2:$C$33,2)</f>
        <v>Russia</v>
      </c>
      <c r="I28" t="s">
        <v>17</v>
      </c>
      <c r="J28" t="s">
        <v>12</v>
      </c>
      <c r="K28" t="str">
        <f>VLOOKUP(J28,Config!$B$2:$C$33,2)</f>
        <v>Wales</v>
      </c>
      <c r="L28" t="s">
        <v>435</v>
      </c>
      <c r="M28">
        <v>35</v>
      </c>
      <c r="N28" s="2">
        <f>F28-Time!H$1/24</f>
        <v>0.79166666666666663</v>
      </c>
      <c r="O28" s="2">
        <f t="shared" si="2"/>
        <v>0.83333333333333326</v>
      </c>
      <c r="Q28" s="1">
        <v>42541</v>
      </c>
      <c r="R28" s="2">
        <v>0.875</v>
      </c>
      <c r="S28" t="s">
        <v>11</v>
      </c>
      <c r="T28" t="str">
        <f>VLOOKUP(S28,Config!$B$2:$C$33,2)</f>
        <v>Russia</v>
      </c>
      <c r="U28" t="s">
        <v>17</v>
      </c>
      <c r="V28" t="s">
        <v>12</v>
      </c>
      <c r="W28" t="str">
        <f>VLOOKUP(V28,Config!$B$2:$C$33,2)</f>
        <v>Wales</v>
      </c>
      <c r="X28" t="s">
        <v>435</v>
      </c>
    </row>
    <row r="29" spans="1:24">
      <c r="A29">
        <v>37</v>
      </c>
      <c r="B29" t="s">
        <v>72</v>
      </c>
      <c r="C29" t="str">
        <f t="shared" si="0"/>
        <v>B</v>
      </c>
      <c r="D29" s="4">
        <f t="shared" si="1"/>
        <v>42541</v>
      </c>
      <c r="E29" s="1">
        <v>42541</v>
      </c>
      <c r="F29" s="2">
        <v>0.875</v>
      </c>
      <c r="G29" t="s">
        <v>86</v>
      </c>
      <c r="H29" t="str">
        <f>VLOOKUP(G29,Config!$B$2:$C$33,2)</f>
        <v>Slovakia</v>
      </c>
      <c r="I29" t="s">
        <v>18</v>
      </c>
      <c r="J29" t="s">
        <v>83</v>
      </c>
      <c r="K29" t="str">
        <f>VLOOKUP(J29,Config!$B$2:$C$33,2)</f>
        <v>England</v>
      </c>
      <c r="L29" t="s">
        <v>434</v>
      </c>
      <c r="M29">
        <v>36</v>
      </c>
      <c r="N29" s="2">
        <f>F29-Time!H$1/24</f>
        <v>0.79166666666666663</v>
      </c>
      <c r="O29" s="2">
        <f t="shared" si="2"/>
        <v>0.83333333333333326</v>
      </c>
      <c r="Q29" s="1">
        <v>42541</v>
      </c>
      <c r="R29" s="2">
        <v>0.875</v>
      </c>
      <c r="S29" t="s">
        <v>86</v>
      </c>
      <c r="T29" t="str">
        <f>VLOOKUP(S29,Config!$B$2:$C$33,2)</f>
        <v>Slovakia</v>
      </c>
      <c r="U29" t="s">
        <v>18</v>
      </c>
      <c r="V29" t="s">
        <v>83</v>
      </c>
      <c r="W29" t="str">
        <f>VLOOKUP(V29,Config!$B$2:$C$33,2)</f>
        <v>England</v>
      </c>
      <c r="X29" t="s">
        <v>434</v>
      </c>
    </row>
    <row r="30" spans="1:24">
      <c r="A30">
        <v>38</v>
      </c>
      <c r="B30" t="s">
        <v>72</v>
      </c>
      <c r="C30" t="str">
        <f t="shared" si="0"/>
        <v>C</v>
      </c>
      <c r="D30" s="4">
        <f t="shared" si="1"/>
        <v>42542</v>
      </c>
      <c r="E30" s="1">
        <v>42542</v>
      </c>
      <c r="F30" s="2">
        <v>0.75</v>
      </c>
      <c r="G30" t="s">
        <v>21</v>
      </c>
      <c r="H30" t="str">
        <f>VLOOKUP(G30,Config!$B$2:$C$33,2)</f>
        <v>Ukraine</v>
      </c>
      <c r="I30" t="s">
        <v>27</v>
      </c>
      <c r="J30" t="s">
        <v>22</v>
      </c>
      <c r="K30" t="str">
        <f>VLOOKUP(J30,Config!$B$2:$C$33,2)</f>
        <v>Poland</v>
      </c>
      <c r="L30" t="s">
        <v>430</v>
      </c>
      <c r="M30">
        <v>37</v>
      </c>
      <c r="N30" s="2">
        <f>F30-Time!H$1/24</f>
        <v>0.66666666666666663</v>
      </c>
      <c r="O30" s="2">
        <f t="shared" si="2"/>
        <v>0.70833333333333326</v>
      </c>
      <c r="Q30" s="1">
        <v>42542</v>
      </c>
      <c r="R30" s="2">
        <v>0.75</v>
      </c>
      <c r="S30" t="s">
        <v>21</v>
      </c>
      <c r="T30" t="str">
        <f>VLOOKUP(S30,Config!$B$2:$C$33,2)</f>
        <v>Ukraine</v>
      </c>
      <c r="U30" t="s">
        <v>27</v>
      </c>
      <c r="V30" t="s">
        <v>22</v>
      </c>
      <c r="W30" t="str">
        <f>VLOOKUP(V30,Config!$B$2:$C$33,2)</f>
        <v>Poland</v>
      </c>
      <c r="X30" t="s">
        <v>430</v>
      </c>
    </row>
    <row r="31" spans="1:24">
      <c r="A31">
        <v>39</v>
      </c>
      <c r="B31" t="s">
        <v>72</v>
      </c>
      <c r="C31" t="str">
        <f t="shared" si="0"/>
        <v>C</v>
      </c>
      <c r="D31" s="4">
        <f t="shared" si="1"/>
        <v>42542</v>
      </c>
      <c r="E31" s="1">
        <v>42542</v>
      </c>
      <c r="F31" s="2">
        <v>0.75</v>
      </c>
      <c r="G31" t="s">
        <v>90</v>
      </c>
      <c r="H31" t="str">
        <f>VLOOKUP(G31,Config!$B$2:$C$33,2)</f>
        <v>N Ireland</v>
      </c>
      <c r="I31" t="s">
        <v>28</v>
      </c>
      <c r="J31" t="s">
        <v>87</v>
      </c>
      <c r="K31" t="str">
        <f>VLOOKUP(J31,Config!$B$2:$C$33,2)</f>
        <v>Germany</v>
      </c>
      <c r="L31" t="s">
        <v>432</v>
      </c>
      <c r="M31">
        <v>38</v>
      </c>
      <c r="N31" s="2">
        <f>F31-Time!H$1/24</f>
        <v>0.66666666666666663</v>
      </c>
      <c r="O31" s="2">
        <f t="shared" si="2"/>
        <v>0.70833333333333326</v>
      </c>
      <c r="Q31" s="1">
        <v>42542</v>
      </c>
      <c r="R31" s="2">
        <v>0.75</v>
      </c>
      <c r="S31" t="s">
        <v>90</v>
      </c>
      <c r="T31" t="str">
        <f>VLOOKUP(S31,Config!$B$2:$C$33,2)</f>
        <v>N Ireland</v>
      </c>
      <c r="U31" t="s">
        <v>28</v>
      </c>
      <c r="V31" t="s">
        <v>87</v>
      </c>
      <c r="W31" t="str">
        <f>VLOOKUP(V31,Config!$B$2:$C$33,2)</f>
        <v>Germany</v>
      </c>
      <c r="X31" t="s">
        <v>432</v>
      </c>
    </row>
    <row r="32" spans="1:24">
      <c r="A32">
        <v>40</v>
      </c>
      <c r="B32" t="s">
        <v>72</v>
      </c>
      <c r="C32" t="str">
        <f t="shared" si="0"/>
        <v>D</v>
      </c>
      <c r="D32" s="4">
        <f t="shared" si="1"/>
        <v>42542</v>
      </c>
      <c r="E32" s="1">
        <v>42542</v>
      </c>
      <c r="F32" s="2">
        <v>0.875</v>
      </c>
      <c r="G32" t="s">
        <v>31</v>
      </c>
      <c r="H32" t="str">
        <f>VLOOKUP(G32,Config!$B$2:$C$33,2)</f>
        <v>Czech Rep</v>
      </c>
      <c r="I32" t="s">
        <v>37</v>
      </c>
      <c r="J32" t="s">
        <v>32</v>
      </c>
      <c r="K32" t="str">
        <f>VLOOKUP(J32,Config!$B$2:$C$33,2)</f>
        <v>Turkey</v>
      </c>
      <c r="L32" t="s">
        <v>427</v>
      </c>
      <c r="M32">
        <v>39</v>
      </c>
      <c r="N32" s="2">
        <f>F32-Time!H$1/24</f>
        <v>0.79166666666666663</v>
      </c>
      <c r="O32" s="2">
        <f t="shared" si="2"/>
        <v>0.83333333333333326</v>
      </c>
      <c r="Q32" s="1">
        <v>42542</v>
      </c>
      <c r="R32" s="2">
        <v>0.875</v>
      </c>
      <c r="S32" t="s">
        <v>31</v>
      </c>
      <c r="T32" t="str">
        <f>VLOOKUP(S32,Config!$B$2:$C$33,2)</f>
        <v>Czech Rep</v>
      </c>
      <c r="U32" t="s">
        <v>37</v>
      </c>
      <c r="V32" t="s">
        <v>32</v>
      </c>
      <c r="W32" t="str">
        <f>VLOOKUP(V32,Config!$B$2:$C$33,2)</f>
        <v>Turkey</v>
      </c>
      <c r="X32" t="s">
        <v>427</v>
      </c>
    </row>
    <row r="33" spans="1:24">
      <c r="A33">
        <v>41</v>
      </c>
      <c r="B33" t="s">
        <v>72</v>
      </c>
      <c r="C33" t="str">
        <f t="shared" si="0"/>
        <v>D</v>
      </c>
      <c r="D33" s="4">
        <f t="shared" si="1"/>
        <v>42542</v>
      </c>
      <c r="E33" s="1">
        <v>42542</v>
      </c>
      <c r="F33" s="2">
        <v>0.875</v>
      </c>
      <c r="G33" t="s">
        <v>94</v>
      </c>
      <c r="H33" t="str">
        <f>VLOOKUP(G33,Config!$B$2:$C$33,2)</f>
        <v>Croatia</v>
      </c>
      <c r="I33" t="s">
        <v>38</v>
      </c>
      <c r="J33" t="s">
        <v>91</v>
      </c>
      <c r="K33" t="str">
        <f>VLOOKUP(J33,Config!$B$2:$C$33,2)</f>
        <v>Spain</v>
      </c>
      <c r="L33" t="s">
        <v>426</v>
      </c>
      <c r="M33">
        <v>40</v>
      </c>
      <c r="N33" s="2">
        <f>F33-Time!H$1/24</f>
        <v>0.79166666666666663</v>
      </c>
      <c r="O33" s="2">
        <f t="shared" si="2"/>
        <v>0.83333333333333326</v>
      </c>
      <c r="Q33" s="1">
        <v>42542</v>
      </c>
      <c r="R33" s="2">
        <v>0.875</v>
      </c>
      <c r="S33" t="s">
        <v>94</v>
      </c>
      <c r="T33" t="str">
        <f>VLOOKUP(S33,Config!$B$2:$C$33,2)</f>
        <v>Croatia</v>
      </c>
      <c r="U33" t="s">
        <v>38</v>
      </c>
      <c r="V33" t="s">
        <v>91</v>
      </c>
      <c r="W33" t="str">
        <f>VLOOKUP(V33,Config!$B$2:$C$33,2)</f>
        <v>Spain</v>
      </c>
      <c r="X33" t="s">
        <v>426</v>
      </c>
    </row>
    <row r="34" spans="1:24">
      <c r="A34">
        <v>42</v>
      </c>
      <c r="B34" t="s">
        <v>72</v>
      </c>
      <c r="C34" t="str">
        <f t="shared" si="0"/>
        <v>F</v>
      </c>
      <c r="D34" s="4">
        <f t="shared" si="1"/>
        <v>42543</v>
      </c>
      <c r="E34" s="1">
        <v>42543</v>
      </c>
      <c r="F34" s="2">
        <v>0.75</v>
      </c>
      <c r="G34" t="s">
        <v>51</v>
      </c>
      <c r="H34" t="str">
        <f>VLOOKUP(G34,Config!$B$2:$C$33,2)</f>
        <v>Iceland</v>
      </c>
      <c r="I34" t="s">
        <v>57</v>
      </c>
      <c r="J34" t="s">
        <v>52</v>
      </c>
      <c r="K34" t="str">
        <f>VLOOKUP(J34,Config!$B$2:$C$33,2)</f>
        <v>Austria</v>
      </c>
      <c r="L34" t="s">
        <v>433</v>
      </c>
      <c r="M34">
        <v>41</v>
      </c>
      <c r="N34" s="2">
        <f>F34-Time!H$1/24</f>
        <v>0.66666666666666663</v>
      </c>
      <c r="O34" s="2">
        <f t="shared" si="2"/>
        <v>0.70833333333333326</v>
      </c>
    </row>
    <row r="35" spans="1:24">
      <c r="A35">
        <v>43</v>
      </c>
      <c r="B35" t="s">
        <v>72</v>
      </c>
      <c r="C35" t="str">
        <f t="shared" si="0"/>
        <v>F</v>
      </c>
      <c r="D35" s="4">
        <f t="shared" si="1"/>
        <v>42543</v>
      </c>
      <c r="E35" s="1">
        <v>42543</v>
      </c>
      <c r="F35" s="2">
        <v>0.75</v>
      </c>
      <c r="G35" t="s">
        <v>102</v>
      </c>
      <c r="H35" t="str">
        <f>VLOOKUP(G35,Config!$B$2:$C$33,2)</f>
        <v>Hungary</v>
      </c>
      <c r="I35" t="s">
        <v>58</v>
      </c>
      <c r="J35" t="s">
        <v>99</v>
      </c>
      <c r="K35" t="str">
        <f>VLOOKUP(J35,Config!$B$2:$C$33,2)</f>
        <v>Portugal</v>
      </c>
      <c r="L35" t="s">
        <v>429</v>
      </c>
      <c r="M35">
        <v>42</v>
      </c>
      <c r="N35" s="2">
        <f>F35-Time!H$1/24</f>
        <v>0.66666666666666663</v>
      </c>
      <c r="O35" s="2">
        <f t="shared" si="2"/>
        <v>0.70833333333333326</v>
      </c>
    </row>
    <row r="36" spans="1:24">
      <c r="A36">
        <v>44</v>
      </c>
      <c r="B36" t="s">
        <v>72</v>
      </c>
      <c r="C36" t="str">
        <f t="shared" si="0"/>
        <v>E</v>
      </c>
      <c r="D36" s="4">
        <f t="shared" si="1"/>
        <v>42543</v>
      </c>
      <c r="E36" s="1">
        <v>42543</v>
      </c>
      <c r="F36" s="2">
        <v>0.875</v>
      </c>
      <c r="G36" t="s">
        <v>41</v>
      </c>
      <c r="H36" t="str">
        <f>VLOOKUP(G36,Config!$B$2:$C$33,2)</f>
        <v>Italy</v>
      </c>
      <c r="I36" t="s">
        <v>47</v>
      </c>
      <c r="J36" t="s">
        <v>42</v>
      </c>
      <c r="K36" t="str">
        <f>VLOOKUP(J36,Config!$B$2:$C$33,2)</f>
        <v>Rep Ireland</v>
      </c>
      <c r="L36" t="s">
        <v>428</v>
      </c>
      <c r="M36">
        <v>43</v>
      </c>
      <c r="N36" s="2">
        <f>F36-Time!H$1/24</f>
        <v>0.79166666666666663</v>
      </c>
      <c r="O36" s="2">
        <f t="shared" si="2"/>
        <v>0.83333333333333326</v>
      </c>
    </row>
    <row r="37" spans="1:24">
      <c r="A37">
        <v>45</v>
      </c>
      <c r="B37" t="s">
        <v>72</v>
      </c>
      <c r="C37" t="str">
        <f t="shared" si="0"/>
        <v>E</v>
      </c>
      <c r="D37" s="4">
        <f t="shared" si="1"/>
        <v>42543</v>
      </c>
      <c r="E37" s="1">
        <v>42543</v>
      </c>
      <c r="F37" s="2">
        <v>0.875</v>
      </c>
      <c r="G37" t="s">
        <v>98</v>
      </c>
      <c r="H37" t="str">
        <f>VLOOKUP(G37,Config!$B$2:$C$33,2)</f>
        <v>Sweden</v>
      </c>
      <c r="I37" t="s">
        <v>48</v>
      </c>
      <c r="J37" t="s">
        <v>95</v>
      </c>
      <c r="K37" t="str">
        <f>VLOOKUP(J37,Config!$B$2:$C$33,2)</f>
        <v>Belgium</v>
      </c>
      <c r="L37" t="s">
        <v>431</v>
      </c>
      <c r="M37">
        <v>44</v>
      </c>
      <c r="N37" s="2">
        <f>F37-Time!H$1/24</f>
        <v>0.79166666666666663</v>
      </c>
      <c r="O37" s="2">
        <f t="shared" si="2"/>
        <v>0.83333333333333326</v>
      </c>
    </row>
    <row r="38" spans="1:24" s="69" customFormat="1">
      <c r="A38" s="69">
        <v>50</v>
      </c>
      <c r="B38" s="69" t="s">
        <v>152</v>
      </c>
      <c r="C38" s="69" t="s">
        <v>109</v>
      </c>
      <c r="D38" s="70">
        <f t="shared" si="1"/>
        <v>42546</v>
      </c>
      <c r="E38" s="71">
        <v>42546</v>
      </c>
      <c r="F38" s="72">
        <v>0.625</v>
      </c>
      <c r="G38" s="69" t="s">
        <v>118</v>
      </c>
      <c r="H38" s="69" t="str">
        <f>VLOOKUP(G38,Config!B$34:C$69,2)</f>
        <v>Runner-up Group A</v>
      </c>
      <c r="I38" s="69" t="s">
        <v>111</v>
      </c>
      <c r="J38" s="69" t="s">
        <v>121</v>
      </c>
      <c r="K38" s="69" t="str">
        <f>VLOOKUP(J38,Config!B$34:C$69,2)</f>
        <v>Runner-up Group C</v>
      </c>
      <c r="L38" t="s">
        <v>434</v>
      </c>
      <c r="M38" s="69">
        <v>49</v>
      </c>
      <c r="N38" s="2">
        <f>F38-Time!H$1/24</f>
        <v>0.54166666666666663</v>
      </c>
      <c r="O38" s="72">
        <f t="shared" si="2"/>
        <v>0.58333333333333326</v>
      </c>
    </row>
    <row r="39" spans="1:24" s="69" customFormat="1">
      <c r="A39" s="69">
        <v>51</v>
      </c>
      <c r="B39" s="69" t="s">
        <v>152</v>
      </c>
      <c r="C39" s="69" t="s">
        <v>109</v>
      </c>
      <c r="D39" s="70">
        <f t="shared" si="1"/>
        <v>42546</v>
      </c>
      <c r="E39" s="71">
        <v>42546</v>
      </c>
      <c r="F39" s="72">
        <v>0.75</v>
      </c>
      <c r="G39" s="69" t="s">
        <v>116</v>
      </c>
      <c r="H39" s="69" t="str">
        <f>VLOOKUP(G39,Config!B$34:C$69,2)</f>
        <v>Winner Group B</v>
      </c>
      <c r="I39" s="69" t="s">
        <v>114</v>
      </c>
      <c r="J39" s="69" t="str">
        <f>'3rd place'!U25</f>
        <v>Rep Ireland</v>
      </c>
      <c r="K39" s="69" t="str">
        <f>'3rd place'!E33</f>
        <v>3rd Place A, C or D</v>
      </c>
      <c r="L39" s="69" t="s">
        <v>432</v>
      </c>
      <c r="M39" s="69">
        <v>50</v>
      </c>
      <c r="N39" s="2">
        <f>F39-Time!H$1/24</f>
        <v>0.66666666666666663</v>
      </c>
      <c r="O39" s="72">
        <f t="shared" si="2"/>
        <v>0.70833333333333326</v>
      </c>
    </row>
    <row r="40" spans="1:24" s="69" customFormat="1">
      <c r="A40" s="69">
        <v>52</v>
      </c>
      <c r="B40" s="69" t="s">
        <v>152</v>
      </c>
      <c r="C40" s="69" t="s">
        <v>109</v>
      </c>
      <c r="D40" s="70">
        <f t="shared" si="1"/>
        <v>42546</v>
      </c>
      <c r="E40" s="71">
        <v>42546</v>
      </c>
      <c r="F40" s="72">
        <v>0.875</v>
      </c>
      <c r="G40" s="69" t="s">
        <v>119</v>
      </c>
      <c r="H40" s="69" t="str">
        <f>VLOOKUP(G40,Config!B$34:C$69,2)</f>
        <v>Winner Group D</v>
      </c>
      <c r="I40" s="69" t="s">
        <v>117</v>
      </c>
      <c r="J40" s="69" t="str">
        <f>'3rd place'!U26</f>
        <v>Albania</v>
      </c>
      <c r="K40" s="69" t="str">
        <f>'3rd place'!E34</f>
        <v>3rd Place B, E or F</v>
      </c>
      <c r="L40" s="69" t="s">
        <v>427</v>
      </c>
      <c r="M40" s="69">
        <v>51</v>
      </c>
      <c r="N40" s="2">
        <f>F40-Time!H$1/24</f>
        <v>0.79166666666666663</v>
      </c>
      <c r="O40" s="72">
        <f t="shared" si="2"/>
        <v>0.83333333333333326</v>
      </c>
    </row>
    <row r="41" spans="1:24" s="69" customFormat="1">
      <c r="A41" s="69">
        <v>53</v>
      </c>
      <c r="B41" s="69" t="s">
        <v>152</v>
      </c>
      <c r="C41" s="69" t="s">
        <v>109</v>
      </c>
      <c r="D41" s="70">
        <f t="shared" si="1"/>
        <v>42547</v>
      </c>
      <c r="E41" s="71">
        <v>42547</v>
      </c>
      <c r="F41" s="72">
        <v>0.625</v>
      </c>
      <c r="G41" s="69" t="s">
        <v>110</v>
      </c>
      <c r="H41" s="69" t="str">
        <f>VLOOKUP(G41,Config!B$34:C$69,2)</f>
        <v>Winner Group A</v>
      </c>
      <c r="I41" s="69" t="s">
        <v>120</v>
      </c>
      <c r="J41" s="69" t="s">
        <v>130</v>
      </c>
      <c r="K41" s="69" t="str">
        <f>'3rd place'!E35</f>
        <v>3rd Place C, D or E</v>
      </c>
      <c r="L41" s="69" t="s">
        <v>429</v>
      </c>
      <c r="M41" s="69">
        <v>52</v>
      </c>
      <c r="N41" s="2">
        <f>F41-Time!H$1/24</f>
        <v>0.54166666666666663</v>
      </c>
      <c r="O41" s="72">
        <f t="shared" si="2"/>
        <v>0.58333333333333326</v>
      </c>
    </row>
    <row r="42" spans="1:24" s="69" customFormat="1">
      <c r="A42" s="69">
        <v>54</v>
      </c>
      <c r="B42" s="69" t="s">
        <v>152</v>
      </c>
      <c r="C42" s="69" t="s">
        <v>109</v>
      </c>
      <c r="D42" s="70">
        <f t="shared" si="1"/>
        <v>42547</v>
      </c>
      <c r="E42" s="71">
        <v>42547</v>
      </c>
      <c r="F42" s="72">
        <v>0.75</v>
      </c>
      <c r="G42" s="69" t="s">
        <v>113</v>
      </c>
      <c r="H42" s="69" t="str">
        <f>VLOOKUP(G42,Config!B$34:C$69,2)</f>
        <v>Winner Group C</v>
      </c>
      <c r="I42" s="69" t="s">
        <v>123</v>
      </c>
      <c r="J42" s="69" t="s">
        <v>124</v>
      </c>
      <c r="K42" s="69" t="str">
        <f>'3rd place'!E32</f>
        <v>3rd Place A, B or F</v>
      </c>
      <c r="L42" s="69" t="s">
        <v>428</v>
      </c>
      <c r="M42" s="69">
        <v>53</v>
      </c>
      <c r="N42" s="2">
        <f>F42-Time!H$1/24</f>
        <v>0.66666666666666663</v>
      </c>
      <c r="O42" s="72">
        <f t="shared" si="2"/>
        <v>0.70833333333333326</v>
      </c>
    </row>
    <row r="43" spans="1:24" s="69" customFormat="1">
      <c r="A43" s="69">
        <v>55</v>
      </c>
      <c r="B43" s="69" t="s">
        <v>152</v>
      </c>
      <c r="C43" s="69" t="s">
        <v>109</v>
      </c>
      <c r="D43" s="70">
        <f t="shared" si="1"/>
        <v>42547</v>
      </c>
      <c r="E43" s="71">
        <v>42547</v>
      </c>
      <c r="F43" s="72">
        <v>0.875</v>
      </c>
      <c r="G43" s="69" t="s">
        <v>128</v>
      </c>
      <c r="H43" s="69" t="str">
        <f>VLOOKUP(G43,Config!B$34:C$69,2)</f>
        <v>Winner Group F</v>
      </c>
      <c r="I43" s="69" t="s">
        <v>126</v>
      </c>
      <c r="J43" s="69" t="s">
        <v>130</v>
      </c>
      <c r="K43" s="69" t="str">
        <f>VLOOKUP(J43,Config!B$34:C$69,2)</f>
        <v>Runner-up Group E</v>
      </c>
      <c r="L43" s="69" t="s">
        <v>435</v>
      </c>
      <c r="M43" s="69">
        <v>54</v>
      </c>
      <c r="N43" s="2">
        <f>F43-Time!H$1/24</f>
        <v>0.79166666666666663</v>
      </c>
      <c r="O43" s="72">
        <f t="shared" si="2"/>
        <v>0.83333333333333326</v>
      </c>
    </row>
    <row r="44" spans="1:24" s="69" customFormat="1">
      <c r="A44" s="69">
        <v>56</v>
      </c>
      <c r="B44" s="69" t="s">
        <v>152</v>
      </c>
      <c r="C44" s="69" t="s">
        <v>109</v>
      </c>
      <c r="D44" s="70">
        <f t="shared" si="1"/>
        <v>42548</v>
      </c>
      <c r="E44" s="71">
        <v>42548</v>
      </c>
      <c r="F44" s="72">
        <v>0.75</v>
      </c>
      <c r="G44" s="69" t="s">
        <v>122</v>
      </c>
      <c r="H44" s="69" t="str">
        <f>VLOOKUP(G44,Config!B$34:C$69,2)</f>
        <v>Winner Group E</v>
      </c>
      <c r="I44" s="69" t="s">
        <v>129</v>
      </c>
      <c r="J44" s="69" t="s">
        <v>115</v>
      </c>
      <c r="K44" s="69" t="str">
        <f>VLOOKUP(J44,Config!B$34:C$69,2)</f>
        <v>Runner-up Group D</v>
      </c>
      <c r="L44" t="s">
        <v>433</v>
      </c>
      <c r="M44" s="69">
        <v>55</v>
      </c>
      <c r="N44" s="2">
        <f>F44-Time!H$1/24</f>
        <v>0.66666666666666663</v>
      </c>
      <c r="O44" s="72">
        <f t="shared" si="2"/>
        <v>0.70833333333333326</v>
      </c>
    </row>
    <row r="45" spans="1:24" s="69" customFormat="1">
      <c r="A45" s="69">
        <v>57</v>
      </c>
      <c r="B45" s="69" t="s">
        <v>152</v>
      </c>
      <c r="C45" s="69" t="s">
        <v>109</v>
      </c>
      <c r="D45" s="70">
        <f t="shared" si="1"/>
        <v>42548</v>
      </c>
      <c r="E45" s="71">
        <v>42548</v>
      </c>
      <c r="F45" s="72">
        <v>0.875</v>
      </c>
      <c r="G45" s="69" t="s">
        <v>112</v>
      </c>
      <c r="H45" s="69" t="str">
        <f>VLOOKUP(G45,Config!B$34:C$69,2)</f>
        <v>Runner-up Group B</v>
      </c>
      <c r="I45" s="69" t="s">
        <v>132</v>
      </c>
      <c r="J45" s="69" t="s">
        <v>124</v>
      </c>
      <c r="K45" s="69" t="str">
        <f>VLOOKUP(J45,Config!B$34:C$69,2)</f>
        <v>Runner-up Group F</v>
      </c>
      <c r="L45" s="69" t="s">
        <v>431</v>
      </c>
      <c r="M45" s="69">
        <v>56</v>
      </c>
      <c r="N45" s="2">
        <f>F45-Time!H$1/24</f>
        <v>0.79166666666666663</v>
      </c>
      <c r="O45" s="72">
        <f t="shared" si="2"/>
        <v>0.83333333333333326</v>
      </c>
    </row>
    <row r="46" spans="1:24" s="65" customFormat="1">
      <c r="A46" s="65">
        <v>58</v>
      </c>
      <c r="B46" s="65" t="s">
        <v>152</v>
      </c>
      <c r="C46" s="65" t="s">
        <v>134</v>
      </c>
      <c r="D46" s="66">
        <f t="shared" si="1"/>
        <v>42551</v>
      </c>
      <c r="E46" s="67">
        <v>42551</v>
      </c>
      <c r="F46" s="68">
        <v>0.875</v>
      </c>
      <c r="G46" s="65" t="s">
        <v>523</v>
      </c>
      <c r="H46" s="65" t="str">
        <f>VLOOKUP(G46,Config!B$34:C$69,2)</f>
        <v>Winner Match 37</v>
      </c>
      <c r="I46" s="65" t="s">
        <v>136</v>
      </c>
      <c r="J46" s="65" t="s">
        <v>525</v>
      </c>
      <c r="K46" s="65" t="str">
        <f>VLOOKUP(J46,Config!B$34:C$69,2)</f>
        <v>Winner Match 39</v>
      </c>
      <c r="L46" s="65" t="s">
        <v>430</v>
      </c>
      <c r="M46" s="65">
        <v>57</v>
      </c>
      <c r="N46" s="2">
        <f>F46-Time!H$1/24</f>
        <v>0.79166666666666663</v>
      </c>
      <c r="O46" s="68">
        <f t="shared" si="2"/>
        <v>0.83333333333333326</v>
      </c>
    </row>
    <row r="47" spans="1:24" s="65" customFormat="1">
      <c r="A47" s="65">
        <v>59</v>
      </c>
      <c r="B47" s="65" t="s">
        <v>152</v>
      </c>
      <c r="C47" s="65" t="s">
        <v>134</v>
      </c>
      <c r="D47" s="66">
        <f t="shared" si="1"/>
        <v>42552</v>
      </c>
      <c r="E47" s="67">
        <v>42552</v>
      </c>
      <c r="F47" s="68">
        <v>0.875</v>
      </c>
      <c r="G47" s="65" t="s">
        <v>524</v>
      </c>
      <c r="H47" s="65" t="str">
        <f>VLOOKUP(G47,Config!B$34:C$69,2)</f>
        <v>Winner Match 38</v>
      </c>
      <c r="I47" s="65" t="s">
        <v>138</v>
      </c>
      <c r="J47" s="65" t="s">
        <v>528</v>
      </c>
      <c r="K47" s="65" t="str">
        <f>VLOOKUP(J47,Config!B$34:C$69,2)</f>
        <v>Winner Match 42</v>
      </c>
      <c r="L47" s="65" t="s">
        <v>428</v>
      </c>
      <c r="M47" s="65">
        <v>58</v>
      </c>
      <c r="N47" s="2">
        <f>F47-Time!H$1/24</f>
        <v>0.79166666666666663</v>
      </c>
      <c r="O47" s="68">
        <f t="shared" si="2"/>
        <v>0.83333333333333326</v>
      </c>
    </row>
    <row r="48" spans="1:24" s="65" customFormat="1">
      <c r="A48" s="65">
        <v>60</v>
      </c>
      <c r="B48" s="65" t="s">
        <v>152</v>
      </c>
      <c r="C48" s="65" t="s">
        <v>134</v>
      </c>
      <c r="D48" s="66">
        <f t="shared" si="1"/>
        <v>42553</v>
      </c>
      <c r="E48" s="67">
        <v>42553</v>
      </c>
      <c r="F48" s="68">
        <v>0.875</v>
      </c>
      <c r="G48" s="65" t="s">
        <v>527</v>
      </c>
      <c r="H48" s="65" t="str">
        <f>VLOOKUP(G48,Config!B$34:C$69,2)</f>
        <v>Winner Match 41</v>
      </c>
      <c r="I48" s="65" t="s">
        <v>140</v>
      </c>
      <c r="J48" s="65" t="s">
        <v>529</v>
      </c>
      <c r="K48" s="65" t="str">
        <f>VLOOKUP(J48,Config!B$34:C$69,2)</f>
        <v>Winner Match 43</v>
      </c>
      <c r="L48" s="65" t="s">
        <v>426</v>
      </c>
      <c r="M48" s="65">
        <v>59</v>
      </c>
      <c r="N48" s="2">
        <f>F48-Time!H$1/24</f>
        <v>0.79166666666666663</v>
      </c>
      <c r="O48" s="68">
        <f t="shared" si="2"/>
        <v>0.83333333333333326</v>
      </c>
    </row>
    <row r="49" spans="1:15" s="65" customFormat="1">
      <c r="A49" s="65">
        <v>61</v>
      </c>
      <c r="B49" s="65" t="s">
        <v>152</v>
      </c>
      <c r="C49" s="65" t="s">
        <v>134</v>
      </c>
      <c r="D49" s="66">
        <f t="shared" si="1"/>
        <v>42554</v>
      </c>
      <c r="E49" s="67">
        <v>42554</v>
      </c>
      <c r="F49" s="68">
        <v>0.875</v>
      </c>
      <c r="G49" s="65" t="s">
        <v>526</v>
      </c>
      <c r="H49" s="65" t="str">
        <f>VLOOKUP(G49,Config!B$34:C$69,2)</f>
        <v>Winner Match 40</v>
      </c>
      <c r="I49" s="65" t="s">
        <v>141</v>
      </c>
      <c r="J49" s="65" t="s">
        <v>530</v>
      </c>
      <c r="K49" s="65" t="str">
        <f>VLOOKUP(J49,Config!B$34:C$69,2)</f>
        <v>Winner Match 44</v>
      </c>
      <c r="L49" t="s">
        <v>433</v>
      </c>
      <c r="M49" s="65">
        <v>60</v>
      </c>
      <c r="N49" s="2">
        <f>F49-Time!H$1/24</f>
        <v>0.79166666666666663</v>
      </c>
      <c r="O49" s="68">
        <f t="shared" si="2"/>
        <v>0.83333333333333326</v>
      </c>
    </row>
    <row r="50" spans="1:15" s="73" customFormat="1">
      <c r="A50" s="73">
        <v>62</v>
      </c>
      <c r="B50" s="73" t="s">
        <v>152</v>
      </c>
      <c r="C50" s="73" t="s">
        <v>142</v>
      </c>
      <c r="D50" s="74">
        <f t="shared" si="1"/>
        <v>42557</v>
      </c>
      <c r="E50" s="75">
        <v>42557</v>
      </c>
      <c r="F50" s="76">
        <v>0.875</v>
      </c>
      <c r="G50" s="73" t="s">
        <v>531</v>
      </c>
      <c r="H50" s="73" t="str">
        <f>VLOOKUP(G50,Config!B$34:C$69,2)</f>
        <v>Winner Match 45</v>
      </c>
      <c r="I50" s="73" t="s">
        <v>143</v>
      </c>
      <c r="J50" s="73" t="s">
        <v>532</v>
      </c>
      <c r="K50" s="73" t="str">
        <f>VLOOKUP(J50,Config!B$34:C$69,2)</f>
        <v>Winner Match 46</v>
      </c>
      <c r="L50" s="73" t="s">
        <v>429</v>
      </c>
      <c r="M50" s="73">
        <v>61</v>
      </c>
      <c r="N50" s="2">
        <f>F50-Time!H$1/24</f>
        <v>0.79166666666666663</v>
      </c>
      <c r="O50" s="76">
        <f t="shared" si="2"/>
        <v>0.83333333333333326</v>
      </c>
    </row>
    <row r="51" spans="1:15" s="73" customFormat="1">
      <c r="A51" s="73">
        <v>63</v>
      </c>
      <c r="B51" s="73" t="s">
        <v>152</v>
      </c>
      <c r="C51" s="73" t="s">
        <v>142</v>
      </c>
      <c r="D51" s="74">
        <f t="shared" si="1"/>
        <v>42558</v>
      </c>
      <c r="E51" s="75">
        <v>42558</v>
      </c>
      <c r="F51" s="76">
        <v>0.875</v>
      </c>
      <c r="G51" s="73" t="s">
        <v>533</v>
      </c>
      <c r="H51" s="73" t="str">
        <f>VLOOKUP(G51,Config!B$34:C$69,2)</f>
        <v>Winner Match 47</v>
      </c>
      <c r="I51" s="73" t="s">
        <v>144</v>
      </c>
      <c r="J51" s="73" t="s">
        <v>534</v>
      </c>
      <c r="K51" s="73" t="str">
        <f>VLOOKUP(J51,Config!B$34:C$69,2)</f>
        <v>Winner Match 48</v>
      </c>
      <c r="L51" s="73" t="s">
        <v>430</v>
      </c>
      <c r="M51" s="73">
        <v>62</v>
      </c>
      <c r="N51" s="2">
        <f>F51-Time!H$1/24</f>
        <v>0.79166666666666663</v>
      </c>
      <c r="O51" s="76">
        <f t="shared" si="2"/>
        <v>0.83333333333333326</v>
      </c>
    </row>
    <row r="52" spans="1:15" s="80" customFormat="1">
      <c r="A52" s="80">
        <v>64</v>
      </c>
      <c r="B52" s="80" t="s">
        <v>152</v>
      </c>
      <c r="C52" s="80" t="s">
        <v>145</v>
      </c>
      <c r="D52" s="81">
        <f t="shared" si="1"/>
        <v>41832</v>
      </c>
      <c r="E52" s="82">
        <v>41832</v>
      </c>
      <c r="F52" s="83">
        <v>0.875</v>
      </c>
      <c r="G52" s="80" t="s">
        <v>146</v>
      </c>
      <c r="H52" s="80" t="str">
        <f>VLOOKUP(G52,Config!B$34:C$69,2)</f>
        <v>Loser Match 51</v>
      </c>
      <c r="I52" s="80" t="s">
        <v>147</v>
      </c>
      <c r="J52" s="80" t="s">
        <v>148</v>
      </c>
      <c r="K52" s="80" t="str">
        <f>VLOOKUP(J52,Config!B$34:C$69,2)</f>
        <v>Loser Match 51</v>
      </c>
      <c r="L52" s="80" t="s">
        <v>255</v>
      </c>
      <c r="M52" s="80">
        <v>63</v>
      </c>
      <c r="N52" s="2">
        <f>F52-Time!H$1/24</f>
        <v>0.79166666666666663</v>
      </c>
      <c r="O52" s="83">
        <f t="shared" si="2"/>
        <v>0.83333333333333326</v>
      </c>
    </row>
    <row r="53" spans="1:15" s="84" customFormat="1">
      <c r="A53" s="84">
        <v>65</v>
      </c>
      <c r="B53" s="84" t="s">
        <v>152</v>
      </c>
      <c r="C53" s="84" t="s">
        <v>149</v>
      </c>
      <c r="D53" s="85">
        <f t="shared" si="1"/>
        <v>42561</v>
      </c>
      <c r="E53" s="86">
        <v>42561</v>
      </c>
      <c r="F53" s="87">
        <v>0.875</v>
      </c>
      <c r="G53" s="84" t="s">
        <v>135</v>
      </c>
      <c r="H53" s="84" t="str">
        <f>VLOOKUP(G53,Config!B$34:C$69,2)</f>
        <v>Winner Match 49</v>
      </c>
      <c r="I53" s="84" t="s">
        <v>150</v>
      </c>
      <c r="J53" s="84" t="s">
        <v>137</v>
      </c>
      <c r="K53" s="84" t="str">
        <f>VLOOKUP(J53,Config!B$34:C$69,2)</f>
        <v>Winner Match 50</v>
      </c>
      <c r="L53" t="s">
        <v>433</v>
      </c>
      <c r="M53" s="84">
        <v>64</v>
      </c>
      <c r="N53" s="2">
        <f>F53-Time!H$1/24</f>
        <v>0.79166666666666663</v>
      </c>
      <c r="O53" s="87">
        <f t="shared" si="2"/>
        <v>0.83333333333333326</v>
      </c>
    </row>
    <row r="54" spans="1:15">
      <c r="F54" s="1"/>
      <c r="L54" t="s">
        <v>426</v>
      </c>
    </row>
    <row r="55" spans="1:15">
      <c r="F55" s="2"/>
      <c r="L55" t="s">
        <v>427</v>
      </c>
    </row>
    <row r="56" spans="1:15">
      <c r="L56" t="s">
        <v>428</v>
      </c>
    </row>
    <row r="57" spans="1:15">
      <c r="F57" s="1"/>
      <c r="L57" t="s">
        <v>429</v>
      </c>
    </row>
    <row r="58" spans="1:15">
      <c r="F58" s="2"/>
      <c r="L58" t="s">
        <v>430</v>
      </c>
    </row>
    <row r="59" spans="1:15">
      <c r="L59" t="s">
        <v>431</v>
      </c>
    </row>
    <row r="60" spans="1:15">
      <c r="F60" s="1"/>
      <c r="L60" t="s">
        <v>432</v>
      </c>
    </row>
    <row r="61" spans="1:15">
      <c r="F61" s="2"/>
      <c r="L61" t="s">
        <v>433</v>
      </c>
    </row>
    <row r="62" spans="1:15">
      <c r="L62" t="s">
        <v>434</v>
      </c>
    </row>
    <row r="63" spans="1:15">
      <c r="F63" s="1"/>
      <c r="L63" t="s">
        <v>435</v>
      </c>
    </row>
    <row r="64" spans="1:15">
      <c r="F64" s="2"/>
    </row>
    <row r="67" spans="6:6">
      <c r="F67" s="1"/>
    </row>
    <row r="68" spans="6:6">
      <c r="F68" s="2"/>
    </row>
    <row r="70" spans="6:6">
      <c r="F70" s="1"/>
    </row>
    <row r="71" spans="6:6">
      <c r="F71" s="2"/>
    </row>
    <row r="73" spans="6:6">
      <c r="F73" s="1"/>
    </row>
    <row r="74" spans="6:6">
      <c r="F74" s="2"/>
    </row>
    <row r="76" spans="6:6">
      <c r="F76" s="1"/>
    </row>
    <row r="77" spans="6:6">
      <c r="F77" s="2"/>
    </row>
    <row r="79" spans="6:6">
      <c r="F79" s="1"/>
    </row>
    <row r="80" spans="6:6">
      <c r="F80" s="2"/>
    </row>
    <row r="82" spans="6:6">
      <c r="F82" s="1"/>
    </row>
    <row r="83" spans="6:6">
      <c r="F83" s="2"/>
    </row>
    <row r="85" spans="6:6">
      <c r="F85" s="1"/>
    </row>
    <row r="86" spans="6:6">
      <c r="F86" s="2"/>
    </row>
    <row r="88" spans="6:6">
      <c r="F88" s="1"/>
    </row>
    <row r="89" spans="6:6">
      <c r="F89" s="2"/>
    </row>
    <row r="91" spans="6:6">
      <c r="F91" s="1"/>
    </row>
    <row r="92" spans="6:6">
      <c r="F92" s="2"/>
    </row>
    <row r="94" spans="6:6">
      <c r="F94" s="1"/>
    </row>
    <row r="95" spans="6:6">
      <c r="F95" s="2"/>
    </row>
    <row r="97" spans="6:6">
      <c r="F97" s="1"/>
    </row>
    <row r="98" spans="6:6">
      <c r="F98" s="2"/>
    </row>
    <row r="100" spans="6:6">
      <c r="F100" s="1"/>
    </row>
    <row r="101" spans="6:6">
      <c r="F101" s="2"/>
    </row>
    <row r="103" spans="6:6">
      <c r="F103" s="1"/>
    </row>
    <row r="104" spans="6:6">
      <c r="F104" s="2"/>
    </row>
    <row r="106" spans="6:6">
      <c r="F106" s="1"/>
    </row>
    <row r="107" spans="6:6">
      <c r="F107" s="2"/>
    </row>
    <row r="109" spans="6:6">
      <c r="F109" s="1"/>
    </row>
    <row r="110" spans="6:6">
      <c r="F110" s="2"/>
    </row>
    <row r="112" spans="6:6">
      <c r="F112" s="1"/>
    </row>
    <row r="113" spans="6:6">
      <c r="F113" s="2"/>
    </row>
    <row r="115" spans="6:6">
      <c r="F115" s="1"/>
    </row>
    <row r="116" spans="6:6">
      <c r="F116" s="2"/>
    </row>
    <row r="118" spans="6:6">
      <c r="F118" s="1"/>
    </row>
    <row r="119" spans="6:6">
      <c r="F119" s="2"/>
    </row>
    <row r="122" spans="6:6">
      <c r="F122" s="1"/>
    </row>
    <row r="123" spans="6:6">
      <c r="F123" s="2"/>
    </row>
    <row r="125" spans="6:6">
      <c r="F125" s="1"/>
    </row>
    <row r="126" spans="6:6">
      <c r="F126" s="2"/>
    </row>
    <row r="128" spans="6:6">
      <c r="F128" s="1"/>
    </row>
    <row r="129" spans="6:6">
      <c r="F129" s="2"/>
    </row>
    <row r="131" spans="6:6">
      <c r="F131" s="1"/>
    </row>
    <row r="132" spans="6:6">
      <c r="F132" s="2"/>
    </row>
    <row r="134" spans="6:6">
      <c r="F134" s="1"/>
    </row>
    <row r="135" spans="6:6">
      <c r="F135" s="2"/>
    </row>
    <row r="137" spans="6:6">
      <c r="F137" s="1"/>
    </row>
    <row r="138" spans="6:6">
      <c r="F138" s="2"/>
    </row>
    <row r="140" spans="6:6">
      <c r="F140" s="1"/>
    </row>
    <row r="141" spans="6:6">
      <c r="F141" s="2"/>
    </row>
    <row r="143" spans="6:6">
      <c r="F143" s="1"/>
    </row>
    <row r="144" spans="6:6">
      <c r="F144" s="2"/>
    </row>
    <row r="146" spans="5:6">
      <c r="F146" s="1"/>
    </row>
    <row r="147" spans="5:6">
      <c r="F147" s="2"/>
    </row>
    <row r="149" spans="5:6">
      <c r="F149" s="1"/>
    </row>
    <row r="150" spans="5:6">
      <c r="F150" s="2"/>
    </row>
    <row r="152" spans="5:6">
      <c r="F152" s="1"/>
    </row>
    <row r="153" spans="5:6">
      <c r="F153" s="2"/>
    </row>
    <row r="155" spans="5:6">
      <c r="F155" s="1"/>
    </row>
    <row r="156" spans="5:6">
      <c r="F156" s="2"/>
    </row>
    <row r="158" spans="5:6">
      <c r="E158" s="2"/>
    </row>
    <row r="164" spans="5:5">
      <c r="E164" s="2"/>
    </row>
    <row r="170" spans="5:5">
      <c r="E170" s="2"/>
    </row>
    <row r="176" spans="5:5">
      <c r="E176" s="2"/>
    </row>
    <row r="182" spans="5:5">
      <c r="E182" s="2"/>
    </row>
    <row r="188" spans="5:5">
      <c r="E188" s="2"/>
    </row>
  </sheetData>
  <autoFilter ref="A1:O63"/>
  <sortState ref="Q26:X33">
    <sortCondition ref="Q26:Q33"/>
    <sortCondition ref="R26:R33"/>
  </sortState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1"/>
  <dimension ref="A1:M130"/>
  <sheetViews>
    <sheetView topLeftCell="H1" workbookViewId="0">
      <selection activeCell="J24" sqref="J24"/>
    </sheetView>
  </sheetViews>
  <sheetFormatPr defaultColWidth="8.85546875" defaultRowHeight="15"/>
  <cols>
    <col min="1" max="1" width="8.7109375" style="23" bestFit="1" customWidth="1"/>
    <col min="2" max="2" width="16.7109375" style="23" bestFit="1" customWidth="1"/>
    <col min="3" max="3" width="21" style="23" bestFit="1" customWidth="1"/>
    <col min="4" max="4" width="25.5703125" style="23" bestFit="1" customWidth="1"/>
    <col min="5" max="5" width="12.28515625" style="23" bestFit="1" customWidth="1"/>
    <col min="6" max="6" width="20.7109375" style="23" bestFit="1" customWidth="1"/>
    <col min="7" max="7" width="27.5703125" style="23" bestFit="1" customWidth="1"/>
    <col min="8" max="8" width="8" style="23" bestFit="1" customWidth="1"/>
    <col min="9" max="9" width="35.5703125" style="23" bestFit="1" customWidth="1"/>
    <col min="10" max="10" width="70.7109375" style="23" bestFit="1" customWidth="1"/>
    <col min="11" max="11" width="8.85546875" style="23"/>
    <col min="12" max="12" width="40.28515625" style="23" bestFit="1" customWidth="1"/>
    <col min="13" max="13" width="11.85546875" style="23" bestFit="1" customWidth="1"/>
    <col min="14" max="14" width="24.5703125" style="22" bestFit="1" customWidth="1"/>
    <col min="15" max="16384" width="8.85546875" style="22"/>
  </cols>
  <sheetData>
    <row r="1" spans="1:13">
      <c r="A1" s="23" t="s">
        <v>237</v>
      </c>
      <c r="B1" s="23" t="s">
        <v>235</v>
      </c>
      <c r="C1" s="23" t="s">
        <v>236</v>
      </c>
      <c r="L1" s="22"/>
      <c r="M1" s="23" t="s">
        <v>537</v>
      </c>
    </row>
    <row r="2" spans="1:13">
      <c r="A2" s="23" t="s">
        <v>72</v>
      </c>
      <c r="B2" s="23" t="s">
        <v>79</v>
      </c>
      <c r="C2" s="23" t="str">
        <f>Teams!B2</f>
        <v>France</v>
      </c>
      <c r="L2" s="22"/>
      <c r="M2" s="23" t="s">
        <v>538</v>
      </c>
    </row>
    <row r="3" spans="1:13">
      <c r="A3" s="23" t="s">
        <v>72</v>
      </c>
      <c r="B3" s="23" t="s">
        <v>80</v>
      </c>
      <c r="C3" s="23" t="str">
        <f>Teams!B3</f>
        <v>Romania</v>
      </c>
      <c r="L3" s="22"/>
      <c r="M3" s="23" t="s">
        <v>539</v>
      </c>
    </row>
    <row r="4" spans="1:13">
      <c r="A4" s="23" t="s">
        <v>72</v>
      </c>
      <c r="B4" s="23" t="s">
        <v>81</v>
      </c>
      <c r="C4" s="23" t="str">
        <f>Teams!B4</f>
        <v>Albania</v>
      </c>
      <c r="L4" s="22"/>
      <c r="M4" s="23" t="s">
        <v>475</v>
      </c>
    </row>
    <row r="5" spans="1:13">
      <c r="A5" s="23" t="s">
        <v>72</v>
      </c>
      <c r="B5" s="23" t="s">
        <v>82</v>
      </c>
      <c r="C5" s="23" t="str">
        <f>Teams!B5</f>
        <v>Switzerland</v>
      </c>
      <c r="L5" s="22"/>
      <c r="M5" s="23" t="s">
        <v>540</v>
      </c>
    </row>
    <row r="6" spans="1:13">
      <c r="A6" s="23" t="s">
        <v>72</v>
      </c>
      <c r="B6" s="23" t="s">
        <v>83</v>
      </c>
      <c r="C6" s="23" t="str">
        <f>Teams!B6</f>
        <v>England</v>
      </c>
      <c r="L6" s="22"/>
      <c r="M6" s="23" t="s">
        <v>541</v>
      </c>
    </row>
    <row r="7" spans="1:13">
      <c r="A7" s="23" t="s">
        <v>72</v>
      </c>
      <c r="B7" s="23" t="s">
        <v>84</v>
      </c>
      <c r="C7" s="23" t="str">
        <f>Teams!B7</f>
        <v>Russia</v>
      </c>
      <c r="L7" s="22"/>
      <c r="M7" s="23" t="s">
        <v>542</v>
      </c>
    </row>
    <row r="8" spans="1:13">
      <c r="A8" s="23" t="s">
        <v>72</v>
      </c>
      <c r="B8" s="23" t="s">
        <v>85</v>
      </c>
      <c r="C8" s="23" t="str">
        <f>Teams!B8</f>
        <v>Wales</v>
      </c>
      <c r="L8" s="22"/>
      <c r="M8" s="23" t="s">
        <v>543</v>
      </c>
    </row>
    <row r="9" spans="1:13">
      <c r="A9" s="23" t="s">
        <v>72</v>
      </c>
      <c r="B9" s="23" t="s">
        <v>86</v>
      </c>
      <c r="C9" s="23" t="str">
        <f>Teams!B9</f>
        <v>Slovakia</v>
      </c>
      <c r="L9" s="22"/>
      <c r="M9" s="23" t="s">
        <v>544</v>
      </c>
    </row>
    <row r="10" spans="1:13">
      <c r="A10" s="23" t="s">
        <v>72</v>
      </c>
      <c r="B10" s="23" t="s">
        <v>87</v>
      </c>
      <c r="C10" s="23" t="str">
        <f>Teams!B10</f>
        <v>Germany</v>
      </c>
      <c r="L10" s="22"/>
    </row>
    <row r="11" spans="1:13">
      <c r="A11" s="23" t="s">
        <v>72</v>
      </c>
      <c r="B11" s="23" t="s">
        <v>88</v>
      </c>
      <c r="C11" s="23" t="str">
        <f>Teams!B11</f>
        <v>Ukraine</v>
      </c>
      <c r="L11" s="22"/>
    </row>
    <row r="12" spans="1:13">
      <c r="A12" s="23" t="s">
        <v>72</v>
      </c>
      <c r="B12" s="23" t="s">
        <v>89</v>
      </c>
      <c r="C12" s="23" t="str">
        <f>Teams!B12</f>
        <v>Poland</v>
      </c>
      <c r="L12" s="22"/>
    </row>
    <row r="13" spans="1:13">
      <c r="A13" s="23" t="s">
        <v>72</v>
      </c>
      <c r="B13" s="23" t="s">
        <v>90</v>
      </c>
      <c r="C13" s="23" t="str">
        <f>Teams!B13</f>
        <v>N Ireland</v>
      </c>
      <c r="L13" s="22"/>
    </row>
    <row r="14" spans="1:13">
      <c r="A14" s="23" t="s">
        <v>72</v>
      </c>
      <c r="B14" s="23" t="s">
        <v>91</v>
      </c>
      <c r="C14" s="23" t="str">
        <f>Teams!B14</f>
        <v>Spain</v>
      </c>
      <c r="L14" s="22"/>
    </row>
    <row r="15" spans="1:13">
      <c r="A15" s="23" t="s">
        <v>72</v>
      </c>
      <c r="B15" s="23" t="s">
        <v>92</v>
      </c>
      <c r="C15" s="23" t="str">
        <f>Teams!B15</f>
        <v>Czech Rep</v>
      </c>
    </row>
    <row r="16" spans="1:13">
      <c r="A16" s="23" t="s">
        <v>72</v>
      </c>
      <c r="B16" s="23" t="s">
        <v>93</v>
      </c>
      <c r="C16" s="23" t="str">
        <f>Teams!B16</f>
        <v>Turkey</v>
      </c>
    </row>
    <row r="17" spans="1:8">
      <c r="A17" s="23" t="s">
        <v>72</v>
      </c>
      <c r="B17" s="23" t="s">
        <v>94</v>
      </c>
      <c r="C17" s="23" t="str">
        <f>Teams!B17</f>
        <v>Croatia</v>
      </c>
    </row>
    <row r="18" spans="1:8">
      <c r="A18" s="23" t="s">
        <v>72</v>
      </c>
      <c r="B18" s="23" t="s">
        <v>95</v>
      </c>
      <c r="C18" s="23" t="str">
        <f>Teams!B18</f>
        <v>Belgium</v>
      </c>
    </row>
    <row r="19" spans="1:8">
      <c r="A19" s="23" t="s">
        <v>72</v>
      </c>
      <c r="B19" s="23" t="s">
        <v>96</v>
      </c>
      <c r="C19" s="23" t="str">
        <f>Teams!B19</f>
        <v>Italy</v>
      </c>
    </row>
    <row r="20" spans="1:8">
      <c r="A20" s="23" t="s">
        <v>72</v>
      </c>
      <c r="B20" s="23" t="s">
        <v>97</v>
      </c>
      <c r="C20" s="23" t="str">
        <f>Teams!B20</f>
        <v>Rep Ireland</v>
      </c>
    </row>
    <row r="21" spans="1:8">
      <c r="A21" s="23" t="s">
        <v>72</v>
      </c>
      <c r="B21" s="23" t="s">
        <v>98</v>
      </c>
      <c r="C21" s="23" t="str">
        <f>Teams!B21</f>
        <v>Sweden</v>
      </c>
    </row>
    <row r="22" spans="1:8">
      <c r="A22" s="23" t="s">
        <v>72</v>
      </c>
      <c r="B22" s="23" t="s">
        <v>99</v>
      </c>
      <c r="C22" s="23" t="str">
        <f>Teams!B22</f>
        <v>Portugal</v>
      </c>
    </row>
    <row r="23" spans="1:8">
      <c r="A23" s="23" t="s">
        <v>72</v>
      </c>
      <c r="B23" s="23" t="s">
        <v>100</v>
      </c>
      <c r="C23" s="23" t="str">
        <f>Teams!B23</f>
        <v>Iceland</v>
      </c>
    </row>
    <row r="24" spans="1:8">
      <c r="A24" s="23" t="s">
        <v>72</v>
      </c>
      <c r="B24" s="23" t="s">
        <v>101</v>
      </c>
      <c r="C24" s="23" t="str">
        <f>Teams!B24</f>
        <v>Austria</v>
      </c>
    </row>
    <row r="25" spans="1:8">
      <c r="A25" s="23" t="s">
        <v>72</v>
      </c>
      <c r="B25" s="23" t="s">
        <v>102</v>
      </c>
      <c r="C25" s="23" t="str">
        <f>Teams!B25</f>
        <v>Hungary</v>
      </c>
    </row>
    <row r="26" spans="1:8">
      <c r="A26" s="23" t="s">
        <v>72</v>
      </c>
      <c r="B26" s="23" t="s">
        <v>103</v>
      </c>
      <c r="C26" s="23" t="str">
        <f>Teams!B26</f>
        <v>Italy</v>
      </c>
    </row>
    <row r="27" spans="1:8">
      <c r="A27" s="23" t="s">
        <v>72</v>
      </c>
      <c r="B27" s="23" t="s">
        <v>104</v>
      </c>
      <c r="C27" s="23" t="str">
        <f>Teams!B27</f>
        <v>Poland</v>
      </c>
    </row>
    <row r="28" spans="1:8">
      <c r="A28" s="23" t="s">
        <v>72</v>
      </c>
      <c r="B28" s="23" t="s">
        <v>105</v>
      </c>
      <c r="C28" s="23" t="str">
        <f>Teams!B28</f>
        <v>Rep Ireland</v>
      </c>
    </row>
    <row r="29" spans="1:8">
      <c r="A29" s="23" t="s">
        <v>72</v>
      </c>
      <c r="B29" s="23" t="s">
        <v>106</v>
      </c>
      <c r="C29" s="23" t="str">
        <f>Teams!B29</f>
        <v>Germany</v>
      </c>
    </row>
    <row r="30" spans="1:8">
      <c r="A30" s="23" t="s">
        <v>72</v>
      </c>
      <c r="B30" s="23" t="s">
        <v>59</v>
      </c>
      <c r="C30" s="23" t="str">
        <f>Teams!B30</f>
        <v>Russia</v>
      </c>
      <c r="F30" s="26" t="s">
        <v>247</v>
      </c>
      <c r="H30" s="23">
        <f ca="1">RAND()</f>
        <v>0.31862631161105881</v>
      </c>
    </row>
    <row r="31" spans="1:8">
      <c r="A31" s="23" t="s">
        <v>72</v>
      </c>
      <c r="B31" s="23" t="s">
        <v>60</v>
      </c>
      <c r="C31" s="23" t="str">
        <f>Teams!B31</f>
        <v>Romania</v>
      </c>
      <c r="F31" s="27">
        <v>0</v>
      </c>
      <c r="H31" s="23">
        <f ca="1">ROUNDDOWN(H30*Aff!B1,0)</f>
        <v>2</v>
      </c>
    </row>
    <row r="32" spans="1:8">
      <c r="A32" s="23" t="s">
        <v>72</v>
      </c>
      <c r="B32" s="23" t="s">
        <v>61</v>
      </c>
      <c r="C32" s="23" t="str">
        <f>Teams!B32</f>
        <v>Iceland</v>
      </c>
      <c r="F32" s="27">
        <f>F31+1</f>
        <v>1</v>
      </c>
      <c r="G32" s="23">
        <f ca="1">RAND()</f>
        <v>0.37188699554257698</v>
      </c>
      <c r="H32" s="23">
        <v>0</v>
      </c>
    </row>
    <row r="33" spans="1:8">
      <c r="A33" s="23" t="s">
        <v>72</v>
      </c>
      <c r="B33" s="23" t="s">
        <v>62</v>
      </c>
      <c r="C33" s="23" t="str">
        <f>Teams!B33</f>
        <v>England</v>
      </c>
      <c r="F33" s="27">
        <f t="shared" ref="F33:F51" si="0">F32+1</f>
        <v>2</v>
      </c>
      <c r="G33" s="23">
        <f ca="1">ROUNDDOWN(G32*20,0)</f>
        <v>7</v>
      </c>
      <c r="H33" s="23">
        <f>H32+1</f>
        <v>1</v>
      </c>
    </row>
    <row r="34" spans="1:8">
      <c r="A34" s="23" t="s">
        <v>152</v>
      </c>
      <c r="B34" s="23" t="s">
        <v>146</v>
      </c>
      <c r="C34" s="28" t="str">
        <f>IF(D34=TRUE,IF(Wallchart!H67&lt;Wallchart!I67,Wallchart!G67,IF(Wallchart!H67=Wallchart!I67,IF(Wallchart!K67&gt;Wallchart!L67,Wallchart!J67,IF(Wallchart!K67&lt;Wallchart!L67,Wallchart!G67,"Correct Penalties")),Wallchart!J67)),B34)</f>
        <v>Loser Match 61</v>
      </c>
      <c r="D34" s="23" t="str">
        <f>IF(ISBLANK(Wallchart!H67)=TRUE,"",IF(ISBLANK(Wallchart!I67)=TRUE,"",TRUE))</f>
        <v/>
      </c>
      <c r="E34" s="23" t="s">
        <v>244</v>
      </c>
      <c r="F34" s="27">
        <f t="shared" si="0"/>
        <v>3</v>
      </c>
      <c r="G34" s="23">
        <f ca="1">RAND()</f>
        <v>0.4581123419011901</v>
      </c>
      <c r="H34" s="23">
        <f t="shared" ref="H34:H51" si="1">H33+1</f>
        <v>2</v>
      </c>
    </row>
    <row r="35" spans="1:8">
      <c r="A35" s="23" t="s">
        <v>152</v>
      </c>
      <c r="B35" s="23" t="s">
        <v>148</v>
      </c>
      <c r="C35" s="28" t="str">
        <f>IF(D35=TRUE,IF(Wallchart!H68&lt;Wallchart!I68,Wallchart!G68,IF(Wallchart!H68=Wallchart!I68,IF(Wallchart!K68&gt;Wallchart!L68,Wallchart!J68,IF(Wallchart!K68&lt;Wallchart!L68,Wallchart!G68,"Correct Penalties")),Wallchart!J68)),B35)</f>
        <v>Loser Match 62</v>
      </c>
      <c r="D35" s="23" t="str">
        <f>IF(ISBLANK(Wallchart!H68)=TRUE,"",IF(ISBLANK(Wallchart!I68)=TRUE,"",TRUE))</f>
        <v/>
      </c>
      <c r="E35" s="23" t="s">
        <v>245</v>
      </c>
      <c r="F35" s="27">
        <f t="shared" si="0"/>
        <v>4</v>
      </c>
      <c r="G35" s="23">
        <f ca="1">ROUNDDOWN(G34*20,0)</f>
        <v>9</v>
      </c>
      <c r="H35" s="23">
        <f t="shared" si="1"/>
        <v>3</v>
      </c>
    </row>
    <row r="36" spans="1:8">
      <c r="A36" s="23" t="s">
        <v>152</v>
      </c>
      <c r="B36" s="23" t="s">
        <v>153</v>
      </c>
      <c r="C36" s="28" t="str">
        <f>IF(D36=TRUE,IF(Wallchart!H71&lt;Wallchart!I71,Wallchart!G71,IF(Wallchart!H71=Wallchart!I71,IF(Wallchart!K71&gt;Wallchart!L71,Wallchart!J71,IF(Wallchart!K71&lt;Wallchart!L71,Wallchart!G71,"Correct Penalties")),Wallchart!J71)),B36)</f>
        <v>Loser Match 51</v>
      </c>
      <c r="D36" s="23" t="b">
        <f>IF(ISBLANK(Wallchart!H71)=TRUE,"",IF(ISBLANK(Wallchart!I71)=TRUE,"",TRUE))</f>
        <v>1</v>
      </c>
      <c r="E36" s="23" t="s">
        <v>243</v>
      </c>
      <c r="F36" s="27">
        <f t="shared" si="0"/>
        <v>5</v>
      </c>
      <c r="G36" s="23">
        <f ca="1">RAND()</f>
        <v>0.26762103770166923</v>
      </c>
      <c r="H36" s="23">
        <f t="shared" si="1"/>
        <v>4</v>
      </c>
    </row>
    <row r="37" spans="1:8">
      <c r="A37" s="23" t="s">
        <v>152</v>
      </c>
      <c r="B37" s="23" t="s">
        <v>536</v>
      </c>
      <c r="C37" s="28" t="str">
        <f>IF(D37=TRUE,IF(Wallchart!H74&lt;Wallchart!I74,Wallchart!G74,IF(Wallchart!H74=Wallchart!I74,IF(Wallchart!K74&gt;Wallchart!L74,Wallchart!J74,IF(Wallchart!K74&lt;Wallchart!L74,Wallchart!G74,"Correct Penalties")),Wallchart!J74)),B37)</f>
        <v>Loser Match 51</v>
      </c>
      <c r="D37" s="23" t="str">
        <f>IF(ISBLANK(Wallchart!H74)=TRUE,"",IF(ISBLANK(Wallchart!I74)=TRUE,"",TRUE))</f>
        <v/>
      </c>
      <c r="E37" s="23" t="s">
        <v>241</v>
      </c>
      <c r="F37" s="27">
        <f t="shared" si="0"/>
        <v>6</v>
      </c>
      <c r="G37" s="23">
        <f ca="1">ROUNDDOWN(G36*20,0)</f>
        <v>5</v>
      </c>
      <c r="H37" s="23">
        <f t="shared" si="1"/>
        <v>5</v>
      </c>
    </row>
    <row r="38" spans="1:8">
      <c r="A38" s="23" t="s">
        <v>152</v>
      </c>
      <c r="B38" s="23" t="s">
        <v>118</v>
      </c>
      <c r="C38" s="23" t="str">
        <f>IF(SUM(GrpA!I3:I8)=6,GrpA!C13,"Runner-up Group A")</f>
        <v>Runner-up Group A</v>
      </c>
      <c r="F38" s="27">
        <f t="shared" si="0"/>
        <v>7</v>
      </c>
      <c r="G38" s="23">
        <f ca="1">RAND()</f>
        <v>0.50919916029267442</v>
      </c>
      <c r="H38" s="23">
        <f t="shared" si="1"/>
        <v>6</v>
      </c>
    </row>
    <row r="39" spans="1:8">
      <c r="A39" s="23" t="s">
        <v>152</v>
      </c>
      <c r="B39" s="23" t="s">
        <v>112</v>
      </c>
      <c r="C39" s="23" t="str">
        <f>IF(SUM(GrpB!I3:I8)=6,GrpB!C13,"Runner-up Group B")</f>
        <v>Runner-up Group B</v>
      </c>
      <c r="F39" s="27">
        <f t="shared" si="0"/>
        <v>8</v>
      </c>
      <c r="G39" s="23">
        <f ca="1">ROUNDDOWN(G38*20,0)</f>
        <v>10</v>
      </c>
      <c r="H39" s="23">
        <f t="shared" si="1"/>
        <v>7</v>
      </c>
    </row>
    <row r="40" spans="1:8">
      <c r="A40" s="23" t="s">
        <v>152</v>
      </c>
      <c r="B40" s="23" t="s">
        <v>121</v>
      </c>
      <c r="C40" s="23" t="str">
        <f>IF(SUM(GrpC!I3:I8)=6,GrpC!C13,"Runner-up Group C")</f>
        <v>Runner-up Group C</v>
      </c>
      <c r="F40" s="27">
        <f t="shared" si="0"/>
        <v>9</v>
      </c>
      <c r="G40" s="23">
        <f ca="1">RAND()</f>
        <v>0.22613690192032265</v>
      </c>
      <c r="H40" s="23">
        <f t="shared" si="1"/>
        <v>8</v>
      </c>
    </row>
    <row r="41" spans="1:8">
      <c r="A41" s="23" t="s">
        <v>152</v>
      </c>
      <c r="B41" s="23" t="s">
        <v>115</v>
      </c>
      <c r="C41" s="23" t="str">
        <f>IF(SUM(GrpD!I3:I8)=6,GrpD!C13,"Runner-up Group D")</f>
        <v>Runner-up Group D</v>
      </c>
      <c r="F41" s="27">
        <f t="shared" si="0"/>
        <v>10</v>
      </c>
      <c r="G41" s="23">
        <f ca="1">ROUNDDOWN(G40*20,0)</f>
        <v>4</v>
      </c>
      <c r="H41" s="23">
        <f t="shared" si="1"/>
        <v>9</v>
      </c>
    </row>
    <row r="42" spans="1:8">
      <c r="A42" s="23" t="s">
        <v>152</v>
      </c>
      <c r="B42" s="23" t="s">
        <v>130</v>
      </c>
      <c r="C42" s="23" t="str">
        <f>IF(SUM(GrpE!I3:I8)=6,GrpE!C13,"Runner-up Group E")</f>
        <v>Runner-up Group E</v>
      </c>
      <c r="F42" s="27">
        <f t="shared" si="0"/>
        <v>11</v>
      </c>
      <c r="G42" s="23">
        <f ca="1">RAND()</f>
        <v>0.24422913242467581</v>
      </c>
      <c r="H42" s="23">
        <f t="shared" si="1"/>
        <v>10</v>
      </c>
    </row>
    <row r="43" spans="1:8">
      <c r="A43" s="23" t="s">
        <v>152</v>
      </c>
      <c r="B43" s="23" t="s">
        <v>124</v>
      </c>
      <c r="C43" s="23" t="str">
        <f>IF(SUM(GrpF!I3:I8)=6,GrpF!C13,"Runner-up Group F")</f>
        <v>Runner-up Group F</v>
      </c>
      <c r="F43" s="27">
        <f t="shared" si="0"/>
        <v>12</v>
      </c>
      <c r="G43" s="23">
        <f ca="1">ROUNDDOWN(G42*20,0)</f>
        <v>4</v>
      </c>
      <c r="H43" s="23">
        <f t="shared" si="1"/>
        <v>11</v>
      </c>
    </row>
    <row r="44" spans="1:8">
      <c r="A44" s="23" t="s">
        <v>152</v>
      </c>
      <c r="B44" s="23" t="s">
        <v>133</v>
      </c>
      <c r="C44" s="23" t="e">
        <f>IF(SUM(#REF!)=6,#REF!,"Runner-up Group G")</f>
        <v>#REF!</v>
      </c>
      <c r="F44" s="27">
        <f t="shared" si="0"/>
        <v>13</v>
      </c>
      <c r="G44" s="23">
        <f ca="1">RAND()</f>
        <v>0.86614706309115164</v>
      </c>
      <c r="H44" s="23">
        <f t="shared" si="1"/>
        <v>12</v>
      </c>
    </row>
    <row r="45" spans="1:8">
      <c r="A45" s="23" t="s">
        <v>152</v>
      </c>
      <c r="B45" s="23" t="s">
        <v>127</v>
      </c>
      <c r="C45" s="23" t="e">
        <f>IF(SUM(#REF!)=6,#REF!,"Runner-up Group H")</f>
        <v>#REF!</v>
      </c>
      <c r="F45" s="27">
        <f t="shared" si="0"/>
        <v>14</v>
      </c>
      <c r="G45" s="23">
        <f ca="1">ROUNDDOWN(G44*20,0)</f>
        <v>17</v>
      </c>
      <c r="H45" s="23">
        <f t="shared" si="1"/>
        <v>13</v>
      </c>
    </row>
    <row r="46" spans="1:8">
      <c r="A46" s="23" t="s">
        <v>152</v>
      </c>
      <c r="B46" s="23" t="s">
        <v>110</v>
      </c>
      <c r="C46" s="23" t="str">
        <f>IF(SUM(GrpA!I3:I8)=6,GrpA!C12,"Winner Group A")</f>
        <v>Winner Group A</v>
      </c>
      <c r="F46" s="27">
        <f t="shared" si="0"/>
        <v>15</v>
      </c>
      <c r="G46" s="23">
        <f ca="1">RAND()</f>
        <v>0.88041832371290574</v>
      </c>
      <c r="H46" s="23">
        <f t="shared" si="1"/>
        <v>14</v>
      </c>
    </row>
    <row r="47" spans="1:8">
      <c r="A47" s="23" t="s">
        <v>152</v>
      </c>
      <c r="B47" s="23" t="s">
        <v>116</v>
      </c>
      <c r="C47" s="23" t="str">
        <f>IF(SUM(GrpB!I3:I8)=6,GrpB!C12,"Winner Group B")</f>
        <v>Winner Group B</v>
      </c>
      <c r="F47" s="27">
        <f t="shared" si="0"/>
        <v>16</v>
      </c>
      <c r="G47" s="23">
        <f ca="1">ROUNDDOWN(G46*20,0)</f>
        <v>17</v>
      </c>
      <c r="H47" s="23">
        <f t="shared" si="1"/>
        <v>15</v>
      </c>
    </row>
    <row r="48" spans="1:8">
      <c r="A48" s="23" t="s">
        <v>152</v>
      </c>
      <c r="B48" s="23" t="s">
        <v>113</v>
      </c>
      <c r="C48" s="23" t="str">
        <f>IF(SUM(GrpC!I3:I8)=6,GrpC!C12,"Winner Group C")</f>
        <v>Winner Group C</v>
      </c>
      <c r="F48" s="27">
        <f t="shared" si="0"/>
        <v>17</v>
      </c>
      <c r="G48" s="23">
        <f ca="1">RAND()</f>
        <v>0.59190450280322982</v>
      </c>
      <c r="H48" s="23">
        <f t="shared" si="1"/>
        <v>16</v>
      </c>
    </row>
    <row r="49" spans="1:8">
      <c r="A49" s="23" t="s">
        <v>152</v>
      </c>
      <c r="B49" s="23" t="s">
        <v>119</v>
      </c>
      <c r="C49" s="23" t="str">
        <f>IF(SUM(GrpD!I3:I8)=6,GrpD!C12,"Winner Group D")</f>
        <v>Winner Group D</v>
      </c>
      <c r="F49" s="27">
        <f t="shared" si="0"/>
        <v>18</v>
      </c>
      <c r="G49" s="23">
        <f ca="1">ROUNDDOWN(G48*20,0)</f>
        <v>11</v>
      </c>
      <c r="H49" s="23">
        <f t="shared" si="1"/>
        <v>17</v>
      </c>
    </row>
    <row r="50" spans="1:8">
      <c r="A50" s="23" t="s">
        <v>152</v>
      </c>
      <c r="B50" s="23" t="s">
        <v>122</v>
      </c>
      <c r="C50" s="23" t="str">
        <f>IF(SUM(GrpE!I3:I8)=6,GrpE!C12,"Winner Group E")</f>
        <v>Winner Group E</v>
      </c>
      <c r="F50" s="27">
        <f t="shared" si="0"/>
        <v>19</v>
      </c>
      <c r="G50" s="23">
        <f ca="1">RAND()</f>
        <v>0.59518064717929864</v>
      </c>
      <c r="H50" s="23">
        <f t="shared" si="1"/>
        <v>18</v>
      </c>
    </row>
    <row r="51" spans="1:8">
      <c r="A51" s="23" t="s">
        <v>152</v>
      </c>
      <c r="B51" s="23" t="s">
        <v>128</v>
      </c>
      <c r="C51" s="23" t="str">
        <f>IF(SUM(GrpF!I3:I8)=6,GrpF!C12,"Winner Group F")</f>
        <v>Winner Group F</v>
      </c>
      <c r="F51" s="27">
        <f t="shared" si="0"/>
        <v>20</v>
      </c>
      <c r="G51" s="23">
        <f ca="1">ROUNDDOWN(G50*20,0)</f>
        <v>11</v>
      </c>
      <c r="H51" s="23">
        <f t="shared" si="1"/>
        <v>19</v>
      </c>
    </row>
    <row r="52" spans="1:8">
      <c r="A52" s="23" t="s">
        <v>152</v>
      </c>
      <c r="B52" s="23" t="s">
        <v>125</v>
      </c>
      <c r="C52" s="23" t="e">
        <f>IF(SUM(#REF!)=6,#REF!,"Winner Group G")</f>
        <v>#REF!</v>
      </c>
      <c r="E52" s="28"/>
      <c r="F52" s="27"/>
    </row>
    <row r="53" spans="1:8">
      <c r="A53" s="23" t="s">
        <v>152</v>
      </c>
      <c r="B53" s="23" t="s">
        <v>131</v>
      </c>
      <c r="C53" s="23" t="e">
        <f>IF(SUM(#REF!)=6,#REF!,"Winner Group H")</f>
        <v>#REF!</v>
      </c>
      <c r="D53" s="23" t="s">
        <v>239</v>
      </c>
      <c r="E53" s="28"/>
      <c r="F53" s="27"/>
    </row>
    <row r="54" spans="1:8">
      <c r="A54" s="23" t="s">
        <v>152</v>
      </c>
      <c r="B54" s="23" t="s">
        <v>523</v>
      </c>
      <c r="C54" s="23" t="str">
        <f>IF(D54=TRUE,IF(Wallchart!H51&gt;Wallchart!I51,Wallchart!G51,IF(Wallchart!H51=Wallchart!I51,IF(Wallchart!K51&gt;Wallchart!L51,Wallchart!G51,IF(Wallchart!K51&lt;Wallchart!L51,Wallchart!J51,"Correct Penalties")),Wallchart!J51)),B54)</f>
        <v>Winner Match 37</v>
      </c>
      <c r="D54" s="23" t="str">
        <f>IF(ISBLANK(Wallchart!H51)=TRUE,"",IF(ISBLANK(Wallchart!I51)=TRUE,"",TRUE))</f>
        <v/>
      </c>
    </row>
    <row r="55" spans="1:8">
      <c r="A55" s="23" t="s">
        <v>152</v>
      </c>
      <c r="B55" s="23" t="s">
        <v>524</v>
      </c>
      <c r="C55" s="23" t="str">
        <f>IF(D55=TRUE,IF(Wallchart!H52&gt;Wallchart!I52,Wallchart!G52,IF(Wallchart!H52=Wallchart!I52,IF(Wallchart!K52&gt;Wallchart!L52,Wallchart!G52,IF(Wallchart!K52&lt;Wallchart!L52,Wallchart!J52,"Correct Penalties")),Wallchart!J52)),B55)</f>
        <v>Winner Match 38</v>
      </c>
      <c r="D55" s="23" t="str">
        <f>IF(ISBLANK(Wallchart!H52)=TRUE,"",IF(ISBLANK(Wallchart!I52)=TRUE,"",TRUE))</f>
        <v/>
      </c>
    </row>
    <row r="56" spans="1:8">
      <c r="A56" s="23" t="s">
        <v>152</v>
      </c>
      <c r="B56" s="23" t="s">
        <v>525</v>
      </c>
      <c r="C56" s="23" t="str">
        <f>IF(D56=TRUE,IF(Wallchart!H53&gt;Wallchart!I53,Wallchart!G53,IF(Wallchart!H53=Wallchart!I53,IF(Wallchart!K53&gt;Wallchart!L53,Wallchart!G53,IF(Wallchart!K53&lt;Wallchart!L53,Wallchart!J53,"Correct Penalties")),Wallchart!J53)),B56)</f>
        <v>Winner Match 39</v>
      </c>
      <c r="D56" s="23" t="str">
        <f>IF(ISBLANK(Wallchart!H53)=TRUE,"",IF(ISBLANK(Wallchart!I53)=TRUE,"",TRUE))</f>
        <v/>
      </c>
    </row>
    <row r="57" spans="1:8">
      <c r="A57" s="23" t="s">
        <v>152</v>
      </c>
      <c r="B57" s="23" t="s">
        <v>526</v>
      </c>
      <c r="C57" s="23" t="str">
        <f>IF(D57=TRUE,IF(Wallchart!H54&gt;Wallchart!I54,Wallchart!G54,IF(Wallchart!H54=Wallchart!I54,IF(Wallchart!K54&gt;Wallchart!L54,Wallchart!G54,IF(Wallchart!K54&lt;Wallchart!L54,Wallchart!J54,"Correct Penalties")),Wallchart!J54)),B57)</f>
        <v>Winner Match 40</v>
      </c>
      <c r="D57" s="23" t="str">
        <f>IF(ISBLANK(Wallchart!H54)=TRUE,"",IF(ISBLANK(Wallchart!I54)=TRUE,"",TRUE))</f>
        <v/>
      </c>
    </row>
    <row r="58" spans="1:8">
      <c r="A58" s="23" t="s">
        <v>152</v>
      </c>
      <c r="B58" s="23" t="s">
        <v>527</v>
      </c>
      <c r="C58" s="23" t="str">
        <f>IF(D58=TRUE,IF(Wallchart!H55&gt;Wallchart!I55,Wallchart!G55,IF(Wallchart!H55=Wallchart!I55,IF(Wallchart!K55&gt;Wallchart!L55,Wallchart!G55,IF(Wallchart!K55&lt;Wallchart!L55,Wallchart!J55,"Correct Penalties")),Wallchart!J55)),B58)</f>
        <v>Winner Match 41</v>
      </c>
      <c r="D58" s="23" t="str">
        <f>IF(ISBLANK(Wallchart!H55)=TRUE,"",IF(ISBLANK(Wallchart!I55)=TRUE,"",TRUE))</f>
        <v/>
      </c>
      <c r="F58" s="27"/>
    </row>
    <row r="59" spans="1:8">
      <c r="A59" s="23" t="s">
        <v>152</v>
      </c>
      <c r="B59" s="23" t="s">
        <v>528</v>
      </c>
      <c r="C59" s="23" t="str">
        <f>IF(D59=TRUE,IF(Wallchart!H56&gt;Wallchart!I56,Wallchart!G56,IF(Wallchart!H56=Wallchart!I56,IF(Wallchart!K56&gt;Wallchart!L56,Wallchart!G56,IF(Wallchart!K56&lt;Wallchart!L56,Wallchart!J56,"Correct Penalties")),Wallchart!J56)),B59)</f>
        <v>Winner Match 42</v>
      </c>
      <c r="D59" s="23" t="str">
        <f>IF(ISBLANK(Wallchart!H56)=TRUE,"",IF(ISBLANK(Wallchart!I56)=TRUE,"",TRUE))</f>
        <v/>
      </c>
      <c r="F59" s="27"/>
      <c r="H59" s="23">
        <f ca="1">RAND()</f>
        <v>0.36203663991615354</v>
      </c>
    </row>
    <row r="60" spans="1:8">
      <c r="A60" s="23" t="s">
        <v>152</v>
      </c>
      <c r="B60" s="23" t="s">
        <v>529</v>
      </c>
      <c r="C60" s="23" t="str">
        <f>IF(D60=TRUE,IF(Wallchart!H57&gt;Wallchart!I57,Wallchart!G57,IF(Wallchart!H57=Wallchart!I57,IF(Wallchart!K57&gt;Wallchart!L57,Wallchart!G57,IF(Wallchart!K57&lt;Wallchart!L57,Wallchart!J57,"Correct Penalties")),Wallchart!J57)),B60)</f>
        <v>Winner Match 43</v>
      </c>
      <c r="D60" s="23" t="str">
        <f>IF(ISBLANK(Wallchart!H57)=TRUE,"",IF(ISBLANK(Wallchart!I57)=TRUE,"",TRUE))</f>
        <v/>
      </c>
      <c r="F60" s="27"/>
      <c r="H60" s="23">
        <f ca="1">ROUNDDOWN(H59*Aff!B30,0)</f>
        <v>2</v>
      </c>
    </row>
    <row r="61" spans="1:8">
      <c r="A61" s="23" t="s">
        <v>152</v>
      </c>
      <c r="B61" s="23" t="s">
        <v>530</v>
      </c>
      <c r="C61" s="23" t="str">
        <f>IF(D61=TRUE,IF(Wallchart!H58&gt;Wallchart!I58,Wallchart!G58,IF(Wallchart!H58=Wallchart!I58,IF(Wallchart!K58&gt;Wallchart!L58,Wallchart!G58,IF(Wallchart!K58&lt;Wallchart!L58,Wallchart!J58,"Correct Penalties")),Wallchart!J58)),B61)</f>
        <v>Winner Match 44</v>
      </c>
      <c r="D61" s="23" t="str">
        <f>IF(ISBLANK(Wallchart!H58)=TRUE,"",IF(ISBLANK(Wallchart!I58)=TRUE,"",TRUE))</f>
        <v/>
      </c>
      <c r="F61" s="27"/>
      <c r="H61" s="23">
        <v>0</v>
      </c>
    </row>
    <row r="62" spans="1:8">
      <c r="A62" s="23" t="s">
        <v>152</v>
      </c>
      <c r="B62" s="23" t="s">
        <v>531</v>
      </c>
      <c r="C62" s="23" t="str">
        <f>IF(D62=TRUE,IF(Wallchart!H61&gt;Wallchart!I61,Wallchart!G61,IF(Wallchart!H61=Wallchart!I61,IF(Wallchart!K61&gt;Wallchart!L61,Wallchart!G61,IF(Wallchart!K61&lt;Wallchart!L61,Wallchart!J61,"Correct Penalties")),Wallchart!J61)),B62)</f>
        <v>Winner Match 45</v>
      </c>
      <c r="D62" s="23" t="str">
        <f>IF(ISBLANK(Wallchart!H61)=TRUE,"",IF(ISBLANK(Wallchart!I61)=TRUE,"",TRUE))</f>
        <v/>
      </c>
      <c r="F62" s="27"/>
      <c r="H62" s="23">
        <v>1</v>
      </c>
    </row>
    <row r="63" spans="1:8">
      <c r="A63" s="23" t="s">
        <v>152</v>
      </c>
      <c r="B63" s="23" t="s">
        <v>532</v>
      </c>
      <c r="C63" s="23" t="str">
        <f>IF(D63=TRUE,IF(Wallchart!H62&gt;Wallchart!I62,Wallchart!G62,IF(Wallchart!H62=Wallchart!I62,IF(Wallchart!K62&gt;Wallchart!L62,Wallchart!G62,IF(Wallchart!K62&lt;Wallchart!L62,Wallchart!J62,"Correct Penalties")),Wallchart!J62)),B63)</f>
        <v>Winner Match 46</v>
      </c>
      <c r="D63" s="23" t="str">
        <f>IF(ISBLANK(Wallchart!H62)=TRUE,"",IF(ISBLANK(Wallchart!I62)=TRUE,"",TRUE))</f>
        <v/>
      </c>
      <c r="F63" s="27"/>
      <c r="H63" s="23">
        <v>2</v>
      </c>
    </row>
    <row r="64" spans="1:8">
      <c r="A64" s="23" t="s">
        <v>152</v>
      </c>
      <c r="B64" s="23" t="s">
        <v>533</v>
      </c>
      <c r="C64" s="23" t="str">
        <f>IF(D64=TRUE,IF(Wallchart!H63&gt;Wallchart!I63,Wallchart!G63,IF(Wallchart!H63=Wallchart!I63,IF(Wallchart!K63&gt;Wallchart!L63,Wallchart!G63,IF(Wallchart!K63&lt;Wallchart!L63,Wallchart!J63,"Correct Penalties")),Wallchart!J63)),B64)</f>
        <v>Winner Match 47</v>
      </c>
      <c r="D64" s="23" t="str">
        <f>IF(ISBLANK(Wallchart!H63)=TRUE,"",IF(ISBLANK(Wallchart!I63)=TRUE,"",TRUE))</f>
        <v/>
      </c>
      <c r="F64" s="27"/>
      <c r="H64" s="23">
        <v>3</v>
      </c>
    </row>
    <row r="65" spans="1:8">
      <c r="A65" s="23" t="s">
        <v>152</v>
      </c>
      <c r="B65" s="23" t="s">
        <v>534</v>
      </c>
      <c r="C65" s="23" t="str">
        <f>IF(D65=TRUE,IF(Wallchart!H64&gt;Wallchart!I64,Wallchart!G64,IF(Wallchart!H64=Wallchart!I64,IF(Wallchart!K64&gt;Wallchart!L64,Wallchart!G64,IF(Wallchart!K64&lt;Wallchart!L64,Wallchart!J64,"Correct Penalties")),Wallchart!J64)),B65)</f>
        <v>Winner Match 48</v>
      </c>
      <c r="D65" s="23" t="str">
        <f>IF(ISBLANK(Wallchart!H64)=TRUE,"",IF(ISBLANK(Wallchart!I64)=TRUE,"",TRUE))</f>
        <v/>
      </c>
      <c r="F65" s="27"/>
      <c r="H65" s="23">
        <v>4</v>
      </c>
    </row>
    <row r="66" spans="1:8">
      <c r="A66" s="23" t="s">
        <v>152</v>
      </c>
      <c r="B66" s="23" t="s">
        <v>135</v>
      </c>
      <c r="C66" s="23" t="str">
        <f>IF(D66=TRUE,IF(Wallchart!H67&gt;Wallchart!I67,Wallchart!G67,IF(Wallchart!H67=Wallchart!I67,IF(Wallchart!K67&gt;Wallchart!L67,Wallchart!G67,IF(Wallchart!K67&lt;Wallchart!L67,Wallchart!J67,"Correct Penalties")),Wallchart!J67)),B66)</f>
        <v>Winner Match 49</v>
      </c>
      <c r="D66" s="23" t="str">
        <f>IF(ISBLANK(Wallchart!H67)=TRUE,"",IF(ISBLANK(Wallchart!I67)=TRUE,"",TRUE))</f>
        <v/>
      </c>
      <c r="F66" s="27"/>
      <c r="H66" s="23">
        <v>5</v>
      </c>
    </row>
    <row r="67" spans="1:8">
      <c r="A67" s="23" t="s">
        <v>152</v>
      </c>
      <c r="B67" s="23" t="s">
        <v>137</v>
      </c>
      <c r="C67" s="23" t="str">
        <f>IF(D67=TRUE,IF(Wallchart!H68&gt;Wallchart!I68,Wallchart!G68,IF(Wallchart!H68=Wallchart!I68,IF(Wallchart!K68&gt;Wallchart!L68,Wallchart!G68,IF(Wallchart!K68&lt;Wallchart!L68,Wallchart!J68,"Correct Penalties")),Wallchart!J68)),B67)</f>
        <v>Winner Match 50</v>
      </c>
      <c r="D67" s="23" t="str">
        <f>IF(ISBLANK(Wallchart!H68)=TRUE,"",IF(ISBLANK(Wallchart!I68)=TRUE,"",TRUE))</f>
        <v/>
      </c>
      <c r="F67" s="27"/>
      <c r="H67" s="23">
        <v>6</v>
      </c>
    </row>
    <row r="68" spans="1:8">
      <c r="A68" s="23" t="s">
        <v>152</v>
      </c>
      <c r="B68" s="23" t="s">
        <v>535</v>
      </c>
      <c r="C68" s="23" t="str">
        <f>IF(D68=TRUE,IF(Wallchart!H71&gt;Wallchart!I71,Wallchart!G71,IF(Wallchart!H71=Wallchart!I71,IF(Wallchart!K71&gt;Wallchart!L71,Wallchart!G71,IF(Wallchart!K71&lt;Wallchart!L71,Wallchart!J71,"Correct Penalties")),Wallchart!J71)),B68)</f>
        <v>Loser Match 51</v>
      </c>
      <c r="D68" s="23" t="b">
        <f>IF(ISBLANK(Wallchart!H71)=TRUE,"",IF(ISBLANK(Wallchart!I71)=TRUE,"",TRUE))</f>
        <v>1</v>
      </c>
      <c r="E68" s="23" t="s">
        <v>242</v>
      </c>
      <c r="H68" s="23">
        <v>7</v>
      </c>
    </row>
    <row r="69" spans="1:8">
      <c r="A69" s="23" t="s">
        <v>152</v>
      </c>
      <c r="B69" s="23" t="s">
        <v>139</v>
      </c>
      <c r="C69" s="23" t="str">
        <f>IF(D69=TRUE,IF(Wallchart!H74&gt;Wallchart!I74,Wallchart!G74,IF(Wallchart!H74=Wallchart!I74,IF(Wallchart!K74&gt;Wallchart!L74,Wallchart!G74,IF(Wallchart!K74&lt;Wallchart!L74,Wallchart!J74,"Correct Penalties")),Wallchart!J74)),B69)</f>
        <v>Winner Match 51</v>
      </c>
      <c r="D69" s="23" t="str">
        <f>IF(ISBLANK(Wallchart!H74)=TRUE,"",IF(ISBLANK(Wallchart!I74)=TRUE,"",TRUE))</f>
        <v/>
      </c>
      <c r="E69" s="23" t="s">
        <v>240</v>
      </c>
      <c r="H69" s="23">
        <v>8</v>
      </c>
    </row>
    <row r="70" spans="1:8">
      <c r="H70" s="23">
        <v>9</v>
      </c>
    </row>
    <row r="71" spans="1:8">
      <c r="H71" s="23">
        <v>10</v>
      </c>
    </row>
    <row r="72" spans="1:8">
      <c r="H72" s="23">
        <v>11</v>
      </c>
    </row>
    <row r="73" spans="1:8">
      <c r="H73" s="23">
        <v>12</v>
      </c>
    </row>
    <row r="74" spans="1:8">
      <c r="H74" s="23">
        <v>13</v>
      </c>
    </row>
    <row r="75" spans="1:8">
      <c r="H75" s="23">
        <v>14</v>
      </c>
    </row>
    <row r="76" spans="1:8">
      <c r="H76" s="23">
        <v>15</v>
      </c>
    </row>
    <row r="77" spans="1:8">
      <c r="H77" s="23">
        <v>16</v>
      </c>
    </row>
    <row r="78" spans="1:8">
      <c r="H78" s="23">
        <v>17</v>
      </c>
    </row>
    <row r="79" spans="1:8">
      <c r="H79" s="23">
        <v>18</v>
      </c>
    </row>
    <row r="80" spans="1:8">
      <c r="H80" s="23">
        <v>19</v>
      </c>
    </row>
    <row r="84" spans="8:8">
      <c r="H84" s="23">
        <f ca="1">RAND()</f>
        <v>0.79477717514452417</v>
      </c>
    </row>
    <row r="85" spans="8:8">
      <c r="H85" s="23">
        <f ca="1">ROUNDDOWN(H84*Aff!B55,0)</f>
        <v>5</v>
      </c>
    </row>
    <row r="86" spans="8:8">
      <c r="H86" s="23">
        <v>0</v>
      </c>
    </row>
    <row r="87" spans="8:8">
      <c r="H87" s="23">
        <v>1</v>
      </c>
    </row>
    <row r="88" spans="8:8">
      <c r="H88" s="23">
        <v>2</v>
      </c>
    </row>
    <row r="89" spans="8:8">
      <c r="H89" s="23">
        <v>3</v>
      </c>
    </row>
    <row r="90" spans="8:8">
      <c r="H90" s="23">
        <v>4</v>
      </c>
    </row>
    <row r="91" spans="8:8">
      <c r="H91" s="23">
        <v>5</v>
      </c>
    </row>
    <row r="92" spans="8:8">
      <c r="H92" s="23">
        <v>6</v>
      </c>
    </row>
    <row r="93" spans="8:8">
      <c r="H93" s="23">
        <v>7</v>
      </c>
    </row>
    <row r="94" spans="8:8">
      <c r="H94" s="23">
        <v>8</v>
      </c>
    </row>
    <row r="95" spans="8:8">
      <c r="H95" s="23">
        <v>9</v>
      </c>
    </row>
    <row r="96" spans="8:8">
      <c r="H96" s="23">
        <v>10</v>
      </c>
    </row>
    <row r="97" spans="8:8">
      <c r="H97" s="23">
        <v>11</v>
      </c>
    </row>
    <row r="98" spans="8:8">
      <c r="H98" s="23">
        <v>12</v>
      </c>
    </row>
    <row r="99" spans="8:8">
      <c r="H99" s="23">
        <v>13</v>
      </c>
    </row>
    <row r="100" spans="8:8">
      <c r="H100" s="23">
        <v>14</v>
      </c>
    </row>
    <row r="101" spans="8:8">
      <c r="H101" s="23">
        <v>15</v>
      </c>
    </row>
    <row r="102" spans="8:8">
      <c r="H102" s="23">
        <v>16</v>
      </c>
    </row>
    <row r="103" spans="8:8">
      <c r="H103" s="23">
        <v>17</v>
      </c>
    </row>
    <row r="104" spans="8:8">
      <c r="H104" s="23">
        <v>18</v>
      </c>
    </row>
    <row r="105" spans="8:8">
      <c r="H105" s="23">
        <v>19</v>
      </c>
    </row>
    <row r="111" spans="8:8">
      <c r="H111" s="23">
        <v>0</v>
      </c>
    </row>
    <row r="112" spans="8:8">
      <c r="H112" s="23">
        <v>1</v>
      </c>
    </row>
    <row r="113" spans="8:8">
      <c r="H113" s="23">
        <v>2</v>
      </c>
    </row>
    <row r="114" spans="8:8">
      <c r="H114" s="23">
        <v>3</v>
      </c>
    </row>
    <row r="115" spans="8:8">
      <c r="H115" s="23">
        <v>4</v>
      </c>
    </row>
    <row r="116" spans="8:8">
      <c r="H116" s="23">
        <v>5</v>
      </c>
    </row>
    <row r="117" spans="8:8">
      <c r="H117" s="23">
        <v>6</v>
      </c>
    </row>
    <row r="118" spans="8:8">
      <c r="H118" s="23">
        <v>7</v>
      </c>
    </row>
    <row r="119" spans="8:8">
      <c r="H119" s="23">
        <v>8</v>
      </c>
    </row>
    <row r="120" spans="8:8">
      <c r="H120" s="23">
        <v>9</v>
      </c>
    </row>
    <row r="121" spans="8:8">
      <c r="H121" s="23">
        <v>10</v>
      </c>
    </row>
    <row r="122" spans="8:8">
      <c r="H122" s="23">
        <v>11</v>
      </c>
    </row>
    <row r="123" spans="8:8">
      <c r="H123" s="23">
        <v>12</v>
      </c>
    </row>
    <row r="124" spans="8:8">
      <c r="H124" s="23">
        <v>13</v>
      </c>
    </row>
    <row r="125" spans="8:8">
      <c r="H125" s="23">
        <v>14</v>
      </c>
    </row>
    <row r="126" spans="8:8">
      <c r="H126" s="23">
        <v>15</v>
      </c>
    </row>
    <row r="127" spans="8:8">
      <c r="H127" s="23">
        <v>16</v>
      </c>
    </row>
    <row r="128" spans="8:8">
      <c r="H128" s="23">
        <v>17</v>
      </c>
    </row>
    <row r="129" spans="8:8">
      <c r="H129" s="23">
        <v>18</v>
      </c>
    </row>
    <row r="130" spans="8:8">
      <c r="H130" s="23">
        <v>19</v>
      </c>
    </row>
  </sheetData>
  <sortState ref="E2:G28">
    <sortCondition ref="E2:E28"/>
  </sortState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2"/>
  <dimension ref="A1:F125"/>
  <sheetViews>
    <sheetView workbookViewId="0">
      <selection activeCell="B6" sqref="B6"/>
    </sheetView>
  </sheetViews>
  <sheetFormatPr defaultRowHeight="15"/>
  <cols>
    <col min="1" max="1" width="18.7109375" bestFit="1" customWidth="1"/>
    <col min="2" max="2" width="118.5703125" bestFit="1" customWidth="1"/>
    <col min="3" max="3" width="9.28515625" bestFit="1" customWidth="1"/>
    <col min="4" max="4" width="39.7109375" bestFit="1" customWidth="1"/>
    <col min="5" max="5" width="11.85546875" bestFit="1" customWidth="1"/>
    <col min="6" max="6" width="118.5703125" bestFit="1" customWidth="1"/>
  </cols>
  <sheetData>
    <row r="1" spans="1:6">
      <c r="A1" s="23" t="s">
        <v>287</v>
      </c>
      <c r="B1" s="23">
        <v>8</v>
      </c>
      <c r="C1" s="23"/>
      <c r="D1" s="23"/>
      <c r="E1" s="23"/>
      <c r="F1" s="22"/>
    </row>
    <row r="2" spans="1:6">
      <c r="A2" s="23" t="s">
        <v>257</v>
      </c>
      <c r="B2" s="23" t="s">
        <v>258</v>
      </c>
      <c r="C2" s="23" t="s">
        <v>261</v>
      </c>
      <c r="D2" s="23" t="s">
        <v>279</v>
      </c>
      <c r="E2" s="23" t="s">
        <v>280</v>
      </c>
      <c r="F2" s="22" t="s">
        <v>281</v>
      </c>
    </row>
    <row r="3" spans="1:6">
      <c r="A3" s="23" t="s">
        <v>323</v>
      </c>
      <c r="B3" s="25" t="s">
        <v>326</v>
      </c>
      <c r="C3" s="27">
        <v>10</v>
      </c>
      <c r="D3" s="23" t="s">
        <v>331</v>
      </c>
      <c r="E3" s="23"/>
      <c r="F3" s="22" t="str">
        <f t="shared" ref="F3:F22" si="0">B3</f>
        <v>http://imstore.bet365affiliates.com/Tracker.aspx?AffiliateId=64834&amp;AffiliateCode=365_235613&amp;CID=198&amp;DID=27&amp;TID=1&amp;PID=149&amp;LNG=1</v>
      </c>
    </row>
    <row r="4" spans="1:6">
      <c r="A4" s="23" t="s">
        <v>328</v>
      </c>
      <c r="B4" s="25" t="s">
        <v>324</v>
      </c>
      <c r="C4" s="27">
        <f t="shared" ref="C4:C22" si="1">C3+1</f>
        <v>11</v>
      </c>
      <c r="D4" s="23" t="s">
        <v>325</v>
      </c>
      <c r="E4" s="23"/>
      <c r="F4" s="22" t="str">
        <f t="shared" si="0"/>
        <v>http://promo.888.com/888sport/lp/offer/Dollar.php?sr=1056285&amp;flag=0000</v>
      </c>
    </row>
    <row r="5" spans="1:6">
      <c r="A5" s="23" t="s">
        <v>329</v>
      </c>
      <c r="B5" s="25" t="s">
        <v>327</v>
      </c>
      <c r="C5" s="27">
        <f t="shared" si="1"/>
        <v>12</v>
      </c>
      <c r="D5" s="23" t="s">
        <v>330</v>
      </c>
      <c r="E5" s="23"/>
      <c r="F5" s="22" t="str">
        <f t="shared" si="0"/>
        <v>https://sports.bwin.com/en/sports?wm=4128472&amp;zoneId=1570108</v>
      </c>
    </row>
    <row r="6" spans="1:6">
      <c r="A6" s="23" t="s">
        <v>398</v>
      </c>
      <c r="B6" s="25" t="s">
        <v>397</v>
      </c>
      <c r="C6" s="27">
        <f t="shared" si="1"/>
        <v>13</v>
      </c>
      <c r="D6" s="23" t="s">
        <v>404</v>
      </c>
      <c r="E6" s="23"/>
      <c r="F6" s="22" t="str">
        <f t="shared" si="0"/>
        <v>http://partners.commission.bz/processing/clickthrgh.asp?btag=a_36697b_4</v>
      </c>
    </row>
    <row r="7" spans="1:6">
      <c r="A7" s="23" t="s">
        <v>398</v>
      </c>
      <c r="B7" s="25" t="s">
        <v>397</v>
      </c>
      <c r="C7" s="27">
        <f t="shared" si="1"/>
        <v>14</v>
      </c>
      <c r="D7" s="23" t="s">
        <v>405</v>
      </c>
      <c r="E7" s="23"/>
      <c r="F7" s="22" t="str">
        <f t="shared" si="0"/>
        <v>http://partners.commission.bz/processing/clickthrgh.asp?btag=a_36697b_4</v>
      </c>
    </row>
    <row r="8" spans="1:6">
      <c r="A8" s="23" t="s">
        <v>398</v>
      </c>
      <c r="B8" s="25" t="s">
        <v>397</v>
      </c>
      <c r="C8" s="27">
        <f t="shared" si="1"/>
        <v>15</v>
      </c>
      <c r="D8" s="23" t="s">
        <v>406</v>
      </c>
      <c r="E8" s="23"/>
      <c r="F8" s="22" t="str">
        <f t="shared" si="0"/>
        <v>http://partners.commission.bz/processing/clickthrgh.asp?btag=a_36697b_4</v>
      </c>
    </row>
    <row r="9" spans="1:6">
      <c r="A9" s="23" t="s">
        <v>416</v>
      </c>
      <c r="B9" s="25" t="s">
        <v>422</v>
      </c>
      <c r="C9" s="27">
        <f t="shared" si="1"/>
        <v>16</v>
      </c>
      <c r="D9" s="23" t="s">
        <v>423</v>
      </c>
      <c r="E9" s="23"/>
      <c r="F9" s="22" t="str">
        <f t="shared" si="0"/>
        <v>http://partners.commission.bz/processing/clickthrgh.asp?btag=a_36697b_1270</v>
      </c>
    </row>
    <row r="10" spans="1:6">
      <c r="A10" s="23" t="s">
        <v>420</v>
      </c>
      <c r="B10" s="25" t="s">
        <v>424</v>
      </c>
      <c r="C10" s="27">
        <f t="shared" si="1"/>
        <v>17</v>
      </c>
      <c r="D10" s="23" t="s">
        <v>425</v>
      </c>
      <c r="E10" s="23"/>
      <c r="F10" s="22" t="str">
        <f t="shared" si="0"/>
        <v>http://partners.commission.bz/processing/clickthrgh.asp?btag=a_36697b_1295</v>
      </c>
    </row>
    <row r="11" spans="1:6">
      <c r="A11" s="23" t="s">
        <v>329</v>
      </c>
      <c r="B11" s="25" t="s">
        <v>363</v>
      </c>
      <c r="C11" s="27">
        <f t="shared" si="1"/>
        <v>18</v>
      </c>
      <c r="D11" s="23" t="s">
        <v>330</v>
      </c>
      <c r="E11" s="23"/>
      <c r="F11" s="22" t="str">
        <f t="shared" si="0"/>
        <v>https://sports.bwin.com/en/sports?wm=4128472&amp;zoneId=1570114</v>
      </c>
    </row>
    <row r="12" spans="1:6">
      <c r="A12" s="23" t="s">
        <v>329</v>
      </c>
      <c r="B12" s="25" t="s">
        <v>364</v>
      </c>
      <c r="C12" s="27">
        <f t="shared" si="1"/>
        <v>19</v>
      </c>
      <c r="D12" s="23" t="s">
        <v>330</v>
      </c>
      <c r="E12" s="23"/>
      <c r="F12" s="22" t="str">
        <f t="shared" si="0"/>
        <v>https://sports.bwin.com/en/sports?wm=4128472&amp;zoneId=1570115</v>
      </c>
    </row>
    <row r="13" spans="1:6">
      <c r="A13" s="23" t="s">
        <v>329</v>
      </c>
      <c r="B13" s="25" t="s">
        <v>365</v>
      </c>
      <c r="C13" s="27">
        <f t="shared" si="1"/>
        <v>20</v>
      </c>
      <c r="D13" s="23" t="s">
        <v>330</v>
      </c>
      <c r="E13" s="23"/>
      <c r="F13" s="22" t="str">
        <f t="shared" si="0"/>
        <v>https://sports.bwin.com/en/sports?wm=4128472&amp;zoneId=1570116</v>
      </c>
    </row>
    <row r="14" spans="1:6">
      <c r="A14" s="23" t="s">
        <v>329</v>
      </c>
      <c r="B14" s="25" t="s">
        <v>366</v>
      </c>
      <c r="C14" s="27">
        <f t="shared" si="1"/>
        <v>21</v>
      </c>
      <c r="D14" s="23" t="s">
        <v>330</v>
      </c>
      <c r="E14" s="23"/>
      <c r="F14" s="22" t="str">
        <f t="shared" si="0"/>
        <v>https://sports.bwin.com/en/sports?wm=4128472&amp;zoneId=1570117</v>
      </c>
    </row>
    <row r="15" spans="1:6">
      <c r="A15" s="23" t="s">
        <v>329</v>
      </c>
      <c r="B15" s="25" t="s">
        <v>367</v>
      </c>
      <c r="C15" s="27">
        <f t="shared" si="1"/>
        <v>22</v>
      </c>
      <c r="D15" s="23" t="s">
        <v>330</v>
      </c>
      <c r="E15" s="23"/>
      <c r="F15" s="22" t="str">
        <f t="shared" si="0"/>
        <v>https://sports.bwin.com/en/sports?wm=4128472&amp;zoneId=1570118</v>
      </c>
    </row>
    <row r="16" spans="1:6">
      <c r="A16" s="23" t="s">
        <v>329</v>
      </c>
      <c r="B16" s="25" t="s">
        <v>368</v>
      </c>
      <c r="C16" s="27">
        <f t="shared" si="1"/>
        <v>23</v>
      </c>
      <c r="D16" s="23" t="s">
        <v>330</v>
      </c>
      <c r="E16" s="23"/>
      <c r="F16" s="22" t="str">
        <f t="shared" si="0"/>
        <v>https://sports.bwin.com/en/sports?wm=4128472&amp;zoneId=1570119</v>
      </c>
    </row>
    <row r="17" spans="1:6">
      <c r="A17" s="23" t="s">
        <v>329</v>
      </c>
      <c r="B17" s="25" t="s">
        <v>369</v>
      </c>
      <c r="C17" s="27">
        <f t="shared" si="1"/>
        <v>24</v>
      </c>
      <c r="D17" s="23" t="s">
        <v>330</v>
      </c>
      <c r="E17" s="23"/>
      <c r="F17" s="22" t="str">
        <f t="shared" si="0"/>
        <v>https://sports.bwin.com/en/sports?wm=4128472&amp;zoneId=1570120</v>
      </c>
    </row>
    <row r="18" spans="1:6">
      <c r="A18" s="23" t="s">
        <v>329</v>
      </c>
      <c r="B18" s="25" t="s">
        <v>370</v>
      </c>
      <c r="C18" s="27">
        <f t="shared" si="1"/>
        <v>25</v>
      </c>
      <c r="D18" s="23" t="s">
        <v>330</v>
      </c>
      <c r="E18" s="23"/>
      <c r="F18" s="22" t="str">
        <f t="shared" si="0"/>
        <v>https://sports.bwin.com/en/sports?wm=4128472&amp;zoneId=1570121</v>
      </c>
    </row>
    <row r="19" spans="1:6">
      <c r="A19" s="23" t="s">
        <v>329</v>
      </c>
      <c r="B19" s="25" t="s">
        <v>371</v>
      </c>
      <c r="C19" s="27">
        <f t="shared" si="1"/>
        <v>26</v>
      </c>
      <c r="D19" s="23" t="s">
        <v>330</v>
      </c>
      <c r="E19" s="23"/>
      <c r="F19" s="22" t="str">
        <f t="shared" si="0"/>
        <v>https://sports.bwin.com/en/sports?wm=4128472&amp;zoneId=1570122</v>
      </c>
    </row>
    <row r="20" spans="1:6">
      <c r="A20" s="23" t="s">
        <v>329</v>
      </c>
      <c r="B20" s="25" t="s">
        <v>372</v>
      </c>
      <c r="C20" s="27">
        <f t="shared" si="1"/>
        <v>27</v>
      </c>
      <c r="D20" s="23" t="s">
        <v>330</v>
      </c>
      <c r="E20" s="23"/>
      <c r="F20" s="22" t="str">
        <f t="shared" si="0"/>
        <v>https://sports.bwin.com/en/sports?wm=4128472&amp;zoneId=1570123</v>
      </c>
    </row>
    <row r="21" spans="1:6">
      <c r="A21" s="23" t="s">
        <v>329</v>
      </c>
      <c r="B21" s="25" t="s">
        <v>373</v>
      </c>
      <c r="C21" s="27">
        <f t="shared" si="1"/>
        <v>28</v>
      </c>
      <c r="D21" s="23" t="s">
        <v>330</v>
      </c>
      <c r="E21" s="23"/>
      <c r="F21" s="22" t="str">
        <f t="shared" si="0"/>
        <v>https://sports.bwin.com/en/sports?wm=4128472&amp;zoneId=1570124</v>
      </c>
    </row>
    <row r="22" spans="1:6">
      <c r="A22" s="23" t="s">
        <v>329</v>
      </c>
      <c r="B22" s="25" t="s">
        <v>374</v>
      </c>
      <c r="C22" s="27">
        <f t="shared" si="1"/>
        <v>29</v>
      </c>
      <c r="D22" s="23" t="s">
        <v>330</v>
      </c>
      <c r="E22" s="23"/>
      <c r="F22" s="22" t="str">
        <f t="shared" si="0"/>
        <v>https://sports.bwin.com/en/sports?wm=4128472&amp;zoneId=1570125</v>
      </c>
    </row>
    <row r="23" spans="1:6">
      <c r="A23" s="23" t="e">
        <f ca="1">VLOOKUP(Config!H31,A3:F22,5)</f>
        <v>#N/A</v>
      </c>
      <c r="B23" s="23" t="e">
        <f ca="1">VLOOKUP(Config!H31,A3:F22,7)</f>
        <v>#N/A</v>
      </c>
      <c r="C23" s="23"/>
      <c r="D23" s="23"/>
      <c r="E23" s="23"/>
      <c r="F23" s="22"/>
    </row>
    <row r="24" spans="1:6">
      <c r="A24" s="23" t="s">
        <v>282</v>
      </c>
      <c r="B24" s="23"/>
      <c r="C24" s="23"/>
      <c r="D24" s="23"/>
      <c r="E24" s="23"/>
      <c r="F24" s="22"/>
    </row>
    <row r="25" spans="1:6">
      <c r="A25" s="25" t="e">
        <f ca="1">HYPERLINK("[J52]",A23)</f>
        <v>#N/A</v>
      </c>
      <c r="B25" s="23"/>
      <c r="C25" s="23"/>
      <c r="D25" s="23"/>
      <c r="E25" s="23"/>
      <c r="F25" s="22"/>
    </row>
    <row r="26" spans="1:6">
      <c r="A26" s="23"/>
      <c r="B26" s="23" t="s">
        <v>286</v>
      </c>
      <c r="C26" s="23"/>
      <c r="D26" s="23"/>
      <c r="E26" s="23"/>
      <c r="F26" s="22"/>
    </row>
    <row r="27" spans="1:6">
      <c r="A27" s="23"/>
      <c r="B27" s="23" t="s">
        <v>285</v>
      </c>
      <c r="C27" s="23"/>
      <c r="D27" s="23"/>
      <c r="E27" s="23"/>
      <c r="F27" s="22"/>
    </row>
    <row r="28" spans="1:6">
      <c r="A28" s="23"/>
      <c r="B28" s="23" t="s">
        <v>312</v>
      </c>
      <c r="C28" s="23"/>
      <c r="D28" s="23"/>
      <c r="E28" s="23"/>
      <c r="F28" s="22"/>
    </row>
    <row r="29" spans="1:6">
      <c r="A29" s="23"/>
      <c r="B29" s="23" t="s">
        <v>311</v>
      </c>
      <c r="C29" s="23"/>
      <c r="D29" s="23"/>
      <c r="E29" s="23"/>
      <c r="F29" s="22"/>
    </row>
    <row r="30" spans="1:6">
      <c r="A30" s="29" t="s">
        <v>308</v>
      </c>
      <c r="B30" s="23">
        <v>8</v>
      </c>
      <c r="C30" s="23"/>
      <c r="D30" s="23"/>
      <c r="E30" s="23"/>
      <c r="F30" s="22"/>
    </row>
    <row r="31" spans="1:6">
      <c r="A31" s="23" t="s">
        <v>257</v>
      </c>
      <c r="B31" s="23" t="s">
        <v>258</v>
      </c>
      <c r="C31" s="23" t="s">
        <v>261</v>
      </c>
      <c r="D31" s="23" t="s">
        <v>279</v>
      </c>
      <c r="E31" s="23" t="s">
        <v>280</v>
      </c>
      <c r="F31" s="22" t="s">
        <v>281</v>
      </c>
    </row>
    <row r="32" spans="1:6">
      <c r="A32" s="23">
        <v>888</v>
      </c>
      <c r="B32" s="25" t="s">
        <v>332</v>
      </c>
      <c r="C32" s="23">
        <v>0</v>
      </c>
      <c r="D32" s="23" t="s">
        <v>337</v>
      </c>
      <c r="E32" s="23"/>
      <c r="F32" s="22" t="str">
        <f t="shared" ref="F32:F51" si="2">B32</f>
        <v>http://www.888poker.com/promotions?sr=1056285&amp;flag=0000</v>
      </c>
    </row>
    <row r="33" spans="1:6">
      <c r="A33" s="23" t="s">
        <v>263</v>
      </c>
      <c r="B33" s="25" t="s">
        <v>333</v>
      </c>
      <c r="C33" s="23">
        <v>1</v>
      </c>
      <c r="D33" s="23" t="s">
        <v>336</v>
      </c>
      <c r="E33" s="23"/>
      <c r="F33" s="22" t="str">
        <f t="shared" si="2"/>
        <v>http://imstore.bet365affiliates.com/Tracker.aspx?AffiliateId=64834&amp;AffiliateCode=365_235613&amp;CID=376&amp;DID=27&amp;TID=1&amp;PID=148&amp;LNG=1</v>
      </c>
    </row>
    <row r="34" spans="1:6">
      <c r="A34" s="23" t="s">
        <v>278</v>
      </c>
      <c r="B34" s="25" t="s">
        <v>334</v>
      </c>
      <c r="C34" s="23">
        <v>2</v>
      </c>
      <c r="D34" s="23" t="s">
        <v>394</v>
      </c>
      <c r="E34" s="23"/>
      <c r="F34" s="22" t="str">
        <f t="shared" si="2"/>
        <v>https://poker.bwin.com/en/poker/download?wm=4122331&amp;zoneId=1570104</v>
      </c>
    </row>
    <row r="35" spans="1:6">
      <c r="A35" s="23" t="s">
        <v>400</v>
      </c>
      <c r="B35" s="30" t="s">
        <v>399</v>
      </c>
      <c r="C35" s="23">
        <v>3</v>
      </c>
      <c r="D35" s="23" t="s">
        <v>403</v>
      </c>
      <c r="E35" s="23"/>
      <c r="F35" s="22" t="str">
        <f t="shared" si="2"/>
        <v>http://partners.commission.bz/processing/clickthrgh.asp?btag=a_36697b_895</v>
      </c>
    </row>
    <row r="36" spans="1:6">
      <c r="A36" s="23" t="s">
        <v>400</v>
      </c>
      <c r="B36" s="30" t="s">
        <v>399</v>
      </c>
      <c r="C36" s="23">
        <v>4</v>
      </c>
      <c r="D36" s="23" t="s">
        <v>401</v>
      </c>
      <c r="E36" s="23"/>
      <c r="F36" s="22" t="str">
        <f t="shared" si="2"/>
        <v>http://partners.commission.bz/processing/clickthrgh.asp?btag=a_36697b_895</v>
      </c>
    </row>
    <row r="37" spans="1:6">
      <c r="A37" s="23" t="s">
        <v>400</v>
      </c>
      <c r="B37" s="30" t="s">
        <v>399</v>
      </c>
      <c r="C37" s="23">
        <v>5</v>
      </c>
      <c r="D37" s="23" t="s">
        <v>402</v>
      </c>
      <c r="E37" s="23"/>
      <c r="F37" s="22" t="str">
        <f t="shared" si="2"/>
        <v>http://partners.commission.bz/processing/clickthrgh.asp?btag=a_36697b_895</v>
      </c>
    </row>
    <row r="38" spans="1:6">
      <c r="A38" s="23" t="s">
        <v>416</v>
      </c>
      <c r="B38" s="25" t="s">
        <v>417</v>
      </c>
      <c r="C38" s="23">
        <v>6</v>
      </c>
      <c r="D38" s="23" t="s">
        <v>418</v>
      </c>
      <c r="E38" s="23"/>
      <c r="F38" s="22" t="str">
        <f t="shared" si="2"/>
        <v>http://partners.commission.bz/processing/clickthrgh.asp?btag=a_36697b</v>
      </c>
    </row>
    <row r="39" spans="1:6">
      <c r="A39" s="23" t="s">
        <v>420</v>
      </c>
      <c r="B39" s="25" t="s">
        <v>419</v>
      </c>
      <c r="C39" s="23">
        <v>7</v>
      </c>
      <c r="D39" s="23" t="s">
        <v>421</v>
      </c>
      <c r="E39" s="23"/>
      <c r="F39" s="22" t="str">
        <f t="shared" si="2"/>
        <v>http://partners.commission.bz/processing/clickthrgh.asp?btag=a_36697b_1078</v>
      </c>
    </row>
    <row r="40" spans="1:6">
      <c r="A40" s="23" t="s">
        <v>339</v>
      </c>
      <c r="B40" s="25" t="s">
        <v>340</v>
      </c>
      <c r="C40" s="23">
        <v>8</v>
      </c>
      <c r="D40" s="23" t="s">
        <v>335</v>
      </c>
      <c r="E40" s="23"/>
      <c r="F40" s="22" t="str">
        <f t="shared" si="2"/>
        <v>https://poker.bwin.com/en/poker/download?wm=4122331&amp;zoneId=1570110</v>
      </c>
    </row>
    <row r="41" spans="1:6">
      <c r="A41" s="23" t="s">
        <v>341</v>
      </c>
      <c r="B41" s="25" t="s">
        <v>342</v>
      </c>
      <c r="C41" s="23">
        <v>9</v>
      </c>
      <c r="D41" s="23" t="s">
        <v>335</v>
      </c>
      <c r="E41" s="23"/>
      <c r="F41" s="22" t="str">
        <f t="shared" si="2"/>
        <v>https://poker.bwin.com/en/poker/download?wm=4122331&amp;zoneId=1570111</v>
      </c>
    </row>
    <row r="42" spans="1:6">
      <c r="A42" s="23" t="s">
        <v>343</v>
      </c>
      <c r="B42" s="25" t="s">
        <v>344</v>
      </c>
      <c r="C42" s="23">
        <v>10</v>
      </c>
      <c r="D42" s="23" t="s">
        <v>335</v>
      </c>
      <c r="E42" s="23"/>
      <c r="F42" s="22" t="str">
        <f t="shared" si="2"/>
        <v>https://poker.bwin.com/en/poker/download?wm=4122331&amp;zoneId=1570112</v>
      </c>
    </row>
    <row r="43" spans="1:6">
      <c r="A43" s="23" t="s">
        <v>345</v>
      </c>
      <c r="B43" s="25" t="s">
        <v>346</v>
      </c>
      <c r="C43" s="23">
        <v>11</v>
      </c>
      <c r="D43" s="23" t="s">
        <v>335</v>
      </c>
      <c r="E43" s="23"/>
      <c r="F43" s="22" t="str">
        <f t="shared" si="2"/>
        <v>https://poker.bwin.com/en/poker/download?wm=4122331&amp;zoneId=1570113</v>
      </c>
    </row>
    <row r="44" spans="1:6">
      <c r="A44" s="23" t="s">
        <v>347</v>
      </c>
      <c r="B44" s="25" t="s">
        <v>348</v>
      </c>
      <c r="C44" s="23">
        <v>12</v>
      </c>
      <c r="D44" s="23" t="s">
        <v>335</v>
      </c>
      <c r="E44" s="23"/>
      <c r="F44" s="22" t="str">
        <f t="shared" si="2"/>
        <v>https://poker.bwin.com/en/poker/download?wm=4122331&amp;zoneId=1570114</v>
      </c>
    </row>
    <row r="45" spans="1:6">
      <c r="A45" s="23" t="s">
        <v>349</v>
      </c>
      <c r="B45" s="25" t="s">
        <v>350</v>
      </c>
      <c r="C45" s="23">
        <v>13</v>
      </c>
      <c r="D45" s="23" t="s">
        <v>335</v>
      </c>
      <c r="E45" s="23"/>
      <c r="F45" s="22" t="str">
        <f t="shared" si="2"/>
        <v>https://poker.bwin.com/en/poker/download?wm=4122331&amp;zoneId=1570115</v>
      </c>
    </row>
    <row r="46" spans="1:6">
      <c r="A46" s="23" t="s">
        <v>351</v>
      </c>
      <c r="B46" s="25" t="s">
        <v>352</v>
      </c>
      <c r="C46" s="23">
        <v>14</v>
      </c>
      <c r="D46" s="23" t="s">
        <v>335</v>
      </c>
      <c r="E46" s="23"/>
      <c r="F46" s="22" t="str">
        <f t="shared" si="2"/>
        <v>https://poker.bwin.com/en/poker/download?wm=4122331&amp;zoneId=1570116</v>
      </c>
    </row>
    <row r="47" spans="1:6">
      <c r="A47" s="23" t="s">
        <v>353</v>
      </c>
      <c r="B47" s="25" t="s">
        <v>354</v>
      </c>
      <c r="C47" s="23">
        <v>15</v>
      </c>
      <c r="D47" s="23" t="s">
        <v>335</v>
      </c>
      <c r="E47" s="23"/>
      <c r="F47" s="22" t="str">
        <f t="shared" si="2"/>
        <v>https://poker.bwin.com/en/poker/download?wm=4122331&amp;zoneId=1570117</v>
      </c>
    </row>
    <row r="48" spans="1:6">
      <c r="A48" s="23" t="s">
        <v>355</v>
      </c>
      <c r="B48" s="25" t="s">
        <v>356</v>
      </c>
      <c r="C48" s="23">
        <v>16</v>
      </c>
      <c r="D48" s="23" t="s">
        <v>335</v>
      </c>
      <c r="E48" s="23"/>
      <c r="F48" s="22" t="str">
        <f t="shared" si="2"/>
        <v>https://poker.bwin.com/en/poker/download?wm=4122331&amp;zoneId=1570118</v>
      </c>
    </row>
    <row r="49" spans="1:6">
      <c r="A49" s="23" t="s">
        <v>357</v>
      </c>
      <c r="B49" s="25" t="s">
        <v>358</v>
      </c>
      <c r="C49" s="23">
        <v>17</v>
      </c>
      <c r="D49" s="23" t="s">
        <v>335</v>
      </c>
      <c r="E49" s="23"/>
      <c r="F49" s="22" t="str">
        <f t="shared" si="2"/>
        <v>https://poker.bwin.com/en/poker/download?wm=4122331&amp;zoneId=1570119</v>
      </c>
    </row>
    <row r="50" spans="1:6">
      <c r="A50" s="23" t="s">
        <v>359</v>
      </c>
      <c r="B50" s="25" t="s">
        <v>360</v>
      </c>
      <c r="C50" s="23">
        <v>18</v>
      </c>
      <c r="D50" s="23" t="s">
        <v>335</v>
      </c>
      <c r="E50" s="23"/>
      <c r="F50" s="22" t="str">
        <f t="shared" si="2"/>
        <v>https://poker.bwin.com/en/poker/download?wm=4122331&amp;zoneId=1570120</v>
      </c>
    </row>
    <row r="51" spans="1:6">
      <c r="A51" s="23" t="s">
        <v>361</v>
      </c>
      <c r="B51" s="25" t="s">
        <v>362</v>
      </c>
      <c r="C51" s="23">
        <v>19</v>
      </c>
      <c r="D51" s="23" t="s">
        <v>335</v>
      </c>
      <c r="E51" s="23"/>
      <c r="F51" s="22" t="str">
        <f t="shared" si="2"/>
        <v>https://poker.bwin.com/en/poker/download?wm=4122331&amp;zoneId=1570121</v>
      </c>
    </row>
    <row r="52" spans="1:6">
      <c r="A52" s="23" t="e">
        <f ca="1">VLOOKUP(Config!H60,A32:F51,5)</f>
        <v>#N/A</v>
      </c>
      <c r="B52" s="23" t="e">
        <f ca="1">VLOOKUP(Config!H60,A32:F51,7)</f>
        <v>#N/A</v>
      </c>
      <c r="C52" s="23"/>
      <c r="D52" s="23"/>
      <c r="E52" s="23"/>
      <c r="F52" s="22"/>
    </row>
    <row r="53" spans="1:6">
      <c r="A53" s="23" t="s">
        <v>282</v>
      </c>
      <c r="B53" s="23"/>
      <c r="C53" s="23"/>
      <c r="D53" s="23"/>
      <c r="E53" s="23"/>
      <c r="F53" s="22"/>
    </row>
    <row r="54" spans="1:6">
      <c r="A54" s="25" t="e">
        <f ca="1">HYPERLINK("[J52]",A52)</f>
        <v>#N/A</v>
      </c>
      <c r="B54" s="23"/>
      <c r="C54" s="23"/>
      <c r="D54" s="23"/>
      <c r="E54" s="23"/>
      <c r="F54" s="22"/>
    </row>
    <row r="55" spans="1:6">
      <c r="A55" s="23" t="s">
        <v>309</v>
      </c>
      <c r="B55" s="23">
        <v>7</v>
      </c>
      <c r="C55" s="23"/>
      <c r="D55" s="23"/>
      <c r="E55" s="23"/>
      <c r="F55" s="22"/>
    </row>
    <row r="56" spans="1:6">
      <c r="A56" s="23" t="s">
        <v>257</v>
      </c>
      <c r="B56" s="23" t="s">
        <v>258</v>
      </c>
      <c r="C56" s="23" t="s">
        <v>261</v>
      </c>
      <c r="D56" s="23" t="s">
        <v>279</v>
      </c>
      <c r="E56" s="23" t="s">
        <v>280</v>
      </c>
      <c r="F56" s="22" t="s">
        <v>281</v>
      </c>
    </row>
    <row r="57" spans="1:6">
      <c r="A57" s="23" t="s">
        <v>259</v>
      </c>
      <c r="B57" s="25" t="s">
        <v>375</v>
      </c>
      <c r="C57" s="23">
        <v>0</v>
      </c>
      <c r="D57" s="23" t="s">
        <v>376</v>
      </c>
      <c r="E57" s="23"/>
      <c r="F57" s="22" t="str">
        <f t="shared" ref="F57:F76" si="3">B57</f>
        <v>http://www.888casino.com/affiliates/knights-and-maidens.htm?sr=1056285&amp;flag=0000</v>
      </c>
    </row>
    <row r="58" spans="1:6">
      <c r="A58" s="23" t="s">
        <v>262</v>
      </c>
      <c r="B58" s="25" t="s">
        <v>377</v>
      </c>
      <c r="C58" s="23">
        <v>1</v>
      </c>
      <c r="D58" s="23" t="s">
        <v>378</v>
      </c>
      <c r="E58" s="23"/>
      <c r="F58" s="22" t="str">
        <f t="shared" si="3"/>
        <v>http://imstore.bet365affiliates.com/Tracker.aspx?AffiliateId=64834&amp;AffiliateCode=365_235613&amp;CID=405&amp;DID=27&amp;TID=1&amp;PID=74&amp;LNG=1</v>
      </c>
    </row>
    <row r="59" spans="1:6">
      <c r="A59" s="23" t="s">
        <v>263</v>
      </c>
      <c r="B59" s="25" t="s">
        <v>379</v>
      </c>
      <c r="C59" s="23">
        <v>2</v>
      </c>
      <c r="D59" s="23" t="s">
        <v>380</v>
      </c>
      <c r="E59" s="23"/>
      <c r="F59" s="22" t="str">
        <f t="shared" si="3"/>
        <v>http://www.partycasino.com?wm=4128477&amp;zoneId=1570111</v>
      </c>
    </row>
    <row r="60" spans="1:6">
      <c r="A60" s="23" t="s">
        <v>400</v>
      </c>
      <c r="B60" s="25" t="s">
        <v>407</v>
      </c>
      <c r="C60" s="23">
        <v>3</v>
      </c>
      <c r="D60" s="23" t="s">
        <v>409</v>
      </c>
      <c r="E60" s="23"/>
      <c r="F60" s="22" t="str">
        <f t="shared" si="3"/>
        <v>http://partners.commission.bz/processing/clickthrgh.asp?btag=a_36697b_852</v>
      </c>
    </row>
    <row r="61" spans="1:6">
      <c r="A61" s="23" t="s">
        <v>400</v>
      </c>
      <c r="B61" s="31" t="s">
        <v>410</v>
      </c>
      <c r="C61" s="23">
        <v>4</v>
      </c>
      <c r="D61" s="23" t="s">
        <v>411</v>
      </c>
      <c r="E61" s="23"/>
      <c r="F61" s="22" t="str">
        <f t="shared" si="3"/>
        <v>http://partners.commission.bz/processing/clickthrgh.asp?btag=a_36697b_884</v>
      </c>
    </row>
    <row r="62" spans="1:6">
      <c r="A62" s="23" t="s">
        <v>400</v>
      </c>
      <c r="B62" s="31" t="s">
        <v>408</v>
      </c>
      <c r="C62" s="23">
        <v>5</v>
      </c>
      <c r="D62" s="23" t="s">
        <v>412</v>
      </c>
      <c r="E62" s="23"/>
      <c r="F62" s="22" t="str">
        <f t="shared" si="3"/>
        <v>http://partners.commission.bz/processing/clickthrgh.asp?btag=a_36697b_1318</v>
      </c>
    </row>
    <row r="63" spans="1:6">
      <c r="A63" s="23" t="s">
        <v>414</v>
      </c>
      <c r="B63" s="25" t="s">
        <v>413</v>
      </c>
      <c r="C63" s="23">
        <v>6</v>
      </c>
      <c r="D63" s="23" t="s">
        <v>415</v>
      </c>
      <c r="E63" s="23"/>
      <c r="F63" s="22" t="str">
        <f t="shared" si="3"/>
        <v>http://partners.commission.bz/processing/clickthrgh.asp?btag=a_36697b_1288</v>
      </c>
    </row>
    <row r="64" spans="1:6">
      <c r="A64" s="23" t="s">
        <v>338</v>
      </c>
      <c r="B64" s="25" t="s">
        <v>381</v>
      </c>
      <c r="C64" s="23">
        <v>7</v>
      </c>
      <c r="D64" s="23" t="s">
        <v>380</v>
      </c>
      <c r="E64" s="23"/>
      <c r="F64" s="22" t="str">
        <f t="shared" si="3"/>
        <v>http://www.partycasino.com?wm=4128477&amp;zoneId=1570116</v>
      </c>
    </row>
    <row r="65" spans="1:6">
      <c r="A65" s="23" t="s">
        <v>339</v>
      </c>
      <c r="B65" s="25" t="s">
        <v>382</v>
      </c>
      <c r="C65" s="23">
        <v>8</v>
      </c>
      <c r="D65" s="23" t="s">
        <v>380</v>
      </c>
      <c r="E65" s="23"/>
      <c r="F65" s="22" t="str">
        <f t="shared" si="3"/>
        <v>http://www.partycasino.com?wm=4128477&amp;zoneId=1570117</v>
      </c>
    </row>
    <row r="66" spans="1:6">
      <c r="A66" s="23" t="s">
        <v>341</v>
      </c>
      <c r="B66" s="25" t="s">
        <v>383</v>
      </c>
      <c r="C66" s="23">
        <v>9</v>
      </c>
      <c r="D66" s="23" t="s">
        <v>380</v>
      </c>
      <c r="E66" s="23"/>
      <c r="F66" s="22" t="str">
        <f t="shared" si="3"/>
        <v>http://www.partycasino.com?wm=4128477&amp;zoneId=1570118</v>
      </c>
    </row>
    <row r="67" spans="1:6">
      <c r="A67" s="23" t="s">
        <v>343</v>
      </c>
      <c r="B67" s="25" t="s">
        <v>384</v>
      </c>
      <c r="C67" s="23">
        <v>10</v>
      </c>
      <c r="D67" s="23" t="s">
        <v>380</v>
      </c>
      <c r="E67" s="23"/>
      <c r="F67" s="22" t="str">
        <f t="shared" si="3"/>
        <v>http://www.partycasino.com?wm=4128477&amp;zoneId=1570119</v>
      </c>
    </row>
    <row r="68" spans="1:6">
      <c r="A68" s="23" t="s">
        <v>345</v>
      </c>
      <c r="B68" s="25" t="s">
        <v>385</v>
      </c>
      <c r="C68" s="23">
        <v>11</v>
      </c>
      <c r="D68" s="23" t="s">
        <v>380</v>
      </c>
      <c r="E68" s="23"/>
      <c r="F68" s="22" t="str">
        <f t="shared" si="3"/>
        <v>http://www.partycasino.com?wm=4128477&amp;zoneId=1570120</v>
      </c>
    </row>
    <row r="69" spans="1:6">
      <c r="A69" s="23" t="s">
        <v>347</v>
      </c>
      <c r="B69" s="25" t="s">
        <v>386</v>
      </c>
      <c r="C69" s="23">
        <v>12</v>
      </c>
      <c r="D69" s="23" t="s">
        <v>380</v>
      </c>
      <c r="E69" s="23"/>
      <c r="F69" s="22" t="str">
        <f t="shared" si="3"/>
        <v>http://www.partycasino.com?wm=4128477&amp;zoneId=1570121</v>
      </c>
    </row>
    <row r="70" spans="1:6">
      <c r="A70" s="23" t="s">
        <v>349</v>
      </c>
      <c r="B70" s="25" t="s">
        <v>387</v>
      </c>
      <c r="C70" s="23">
        <v>13</v>
      </c>
      <c r="D70" s="23" t="s">
        <v>380</v>
      </c>
      <c r="E70" s="23"/>
      <c r="F70" s="22" t="str">
        <f t="shared" si="3"/>
        <v>http://www.partycasino.com?wm=4128477&amp;zoneId=1570122</v>
      </c>
    </row>
    <row r="71" spans="1:6">
      <c r="A71" s="23" t="s">
        <v>351</v>
      </c>
      <c r="B71" s="25" t="s">
        <v>388</v>
      </c>
      <c r="C71" s="23">
        <v>14</v>
      </c>
      <c r="D71" s="23" t="s">
        <v>380</v>
      </c>
      <c r="E71" s="23"/>
      <c r="F71" s="22" t="str">
        <f t="shared" si="3"/>
        <v>http://www.partycasino.com?wm=4128477&amp;zoneId=1570123</v>
      </c>
    </row>
    <row r="72" spans="1:6">
      <c r="A72" s="23" t="s">
        <v>353</v>
      </c>
      <c r="B72" s="25" t="s">
        <v>389</v>
      </c>
      <c r="C72" s="23">
        <v>15</v>
      </c>
      <c r="D72" s="23" t="s">
        <v>380</v>
      </c>
      <c r="E72" s="23"/>
      <c r="F72" s="22" t="str">
        <f t="shared" si="3"/>
        <v>http://www.partycasino.com?wm=4128477&amp;zoneId=1570124</v>
      </c>
    </row>
    <row r="73" spans="1:6">
      <c r="A73" s="23" t="s">
        <v>355</v>
      </c>
      <c r="B73" s="25" t="s">
        <v>390</v>
      </c>
      <c r="C73" s="23">
        <v>16</v>
      </c>
      <c r="D73" s="23" t="s">
        <v>380</v>
      </c>
      <c r="E73" s="23"/>
      <c r="F73" s="22" t="str">
        <f t="shared" si="3"/>
        <v>http://www.partycasino.com?wm=4128477&amp;zoneId=1570125</v>
      </c>
    </row>
    <row r="74" spans="1:6">
      <c r="A74" s="23" t="s">
        <v>357</v>
      </c>
      <c r="B74" s="25" t="s">
        <v>391</v>
      </c>
      <c r="C74" s="23">
        <v>17</v>
      </c>
      <c r="D74" s="23" t="s">
        <v>380</v>
      </c>
      <c r="E74" s="23"/>
      <c r="F74" s="22" t="str">
        <f t="shared" si="3"/>
        <v>http://www.partycasino.com?wm=4128477&amp;zoneId=1570126</v>
      </c>
    </row>
    <row r="75" spans="1:6">
      <c r="A75" s="23" t="s">
        <v>359</v>
      </c>
      <c r="B75" s="25" t="s">
        <v>392</v>
      </c>
      <c r="C75" s="23">
        <v>18</v>
      </c>
      <c r="D75" s="23" t="s">
        <v>380</v>
      </c>
      <c r="E75" s="23"/>
      <c r="F75" s="22" t="str">
        <f t="shared" si="3"/>
        <v>http://www.partycasino.com?wm=4128477&amp;zoneId=1570127</v>
      </c>
    </row>
    <row r="76" spans="1:6">
      <c r="A76" s="23" t="s">
        <v>361</v>
      </c>
      <c r="B76" s="25" t="s">
        <v>393</v>
      </c>
      <c r="C76" s="23">
        <v>19</v>
      </c>
      <c r="D76" s="23" t="s">
        <v>380</v>
      </c>
      <c r="E76" s="23"/>
      <c r="F76" s="22" t="str">
        <f t="shared" si="3"/>
        <v>http://www.partycasino.com?wm=4128477&amp;zoneId=1570128</v>
      </c>
    </row>
    <row r="77" spans="1:6">
      <c r="A77" s="23" t="e">
        <f ca="1">VLOOKUP(Config!H85,A57:F76,5)</f>
        <v>#N/A</v>
      </c>
      <c r="B77" s="23" t="e">
        <f ca="1">VLOOKUP(Config!H85,A57:F76,7)</f>
        <v>#N/A</v>
      </c>
      <c r="C77" s="23"/>
      <c r="D77" s="23"/>
      <c r="E77" s="23"/>
      <c r="F77" s="22"/>
    </row>
    <row r="78" spans="1:6">
      <c r="A78" s="23" t="s">
        <v>282</v>
      </c>
      <c r="B78" s="23"/>
      <c r="C78" s="23"/>
      <c r="D78" s="23"/>
      <c r="E78" s="23"/>
      <c r="F78" s="22"/>
    </row>
    <row r="79" spans="1:6">
      <c r="A79" s="25" t="e">
        <f ca="1">HYPERLINK("[J52]",A77)</f>
        <v>#N/A</v>
      </c>
      <c r="B79" s="23"/>
      <c r="C79" s="23"/>
      <c r="D79" s="23"/>
      <c r="E79" s="23"/>
      <c r="F79" s="22"/>
    </row>
    <row r="80" spans="1:6">
      <c r="A80" s="23" t="s">
        <v>310</v>
      </c>
      <c r="B80" s="23"/>
      <c r="C80" s="23"/>
      <c r="D80" s="23"/>
      <c r="E80" s="23"/>
      <c r="F80" s="22"/>
    </row>
    <row r="81" spans="1:6">
      <c r="A81" s="23" t="s">
        <v>257</v>
      </c>
      <c r="B81" s="23" t="s">
        <v>258</v>
      </c>
      <c r="C81" s="23" t="s">
        <v>261</v>
      </c>
      <c r="D81" s="23" t="s">
        <v>279</v>
      </c>
      <c r="E81" s="23" t="s">
        <v>280</v>
      </c>
      <c r="F81" s="22" t="s">
        <v>281</v>
      </c>
    </row>
    <row r="82" spans="1:6">
      <c r="A82" s="23" t="s">
        <v>259</v>
      </c>
      <c r="B82" s="23" t="s">
        <v>283</v>
      </c>
      <c r="C82" s="23">
        <v>0</v>
      </c>
      <c r="D82" s="23" t="s">
        <v>288</v>
      </c>
      <c r="E82" s="23"/>
      <c r="F82" s="22" t="s">
        <v>283</v>
      </c>
    </row>
    <row r="83" spans="1:6">
      <c r="A83" s="23" t="s">
        <v>262</v>
      </c>
      <c r="B83" s="23" t="s">
        <v>283</v>
      </c>
      <c r="C83" s="23">
        <v>1</v>
      </c>
      <c r="D83" s="23" t="s">
        <v>289</v>
      </c>
      <c r="E83" s="23"/>
      <c r="F83" s="22" t="s">
        <v>283</v>
      </c>
    </row>
    <row r="84" spans="1:6">
      <c r="A84" s="23" t="s">
        <v>263</v>
      </c>
      <c r="B84" s="23" t="s">
        <v>283</v>
      </c>
      <c r="C84" s="23">
        <v>2</v>
      </c>
      <c r="D84" s="23" t="s">
        <v>290</v>
      </c>
      <c r="E84" s="23"/>
      <c r="F84" s="22" t="s">
        <v>283</v>
      </c>
    </row>
    <row r="85" spans="1:6">
      <c r="A85" s="23" t="s">
        <v>264</v>
      </c>
      <c r="B85" s="23" t="s">
        <v>283</v>
      </c>
      <c r="C85" s="23">
        <v>3</v>
      </c>
      <c r="D85" s="23" t="s">
        <v>291</v>
      </c>
      <c r="E85" s="23"/>
      <c r="F85" s="22" t="s">
        <v>283</v>
      </c>
    </row>
    <row r="86" spans="1:6">
      <c r="A86" s="23" t="s">
        <v>265</v>
      </c>
      <c r="B86" s="23" t="s">
        <v>283</v>
      </c>
      <c r="C86" s="23">
        <v>4</v>
      </c>
      <c r="D86" s="23" t="s">
        <v>292</v>
      </c>
      <c r="E86" s="23"/>
      <c r="F86" s="22" t="s">
        <v>283</v>
      </c>
    </row>
    <row r="87" spans="1:6">
      <c r="A87" s="23" t="s">
        <v>266</v>
      </c>
      <c r="B87" s="23" t="s">
        <v>283</v>
      </c>
      <c r="C87" s="23">
        <v>5</v>
      </c>
      <c r="D87" s="23" t="s">
        <v>293</v>
      </c>
      <c r="E87" s="23"/>
      <c r="F87" s="22" t="s">
        <v>283</v>
      </c>
    </row>
    <row r="88" spans="1:6">
      <c r="A88" s="23" t="s">
        <v>267</v>
      </c>
      <c r="B88" s="23" t="s">
        <v>283</v>
      </c>
      <c r="C88" s="23">
        <v>6</v>
      </c>
      <c r="D88" s="23" t="s">
        <v>294</v>
      </c>
      <c r="E88" s="23"/>
      <c r="F88" s="22" t="s">
        <v>283</v>
      </c>
    </row>
    <row r="89" spans="1:6">
      <c r="A89" s="23" t="s">
        <v>260</v>
      </c>
      <c r="B89" s="23" t="s">
        <v>283</v>
      </c>
      <c r="C89" s="23">
        <v>7</v>
      </c>
      <c r="D89" s="23" t="s">
        <v>295</v>
      </c>
      <c r="E89" s="23"/>
      <c r="F89" s="22" t="s">
        <v>283</v>
      </c>
    </row>
    <row r="90" spans="1:6">
      <c r="A90" s="23" t="s">
        <v>268</v>
      </c>
      <c r="B90" s="23" t="s">
        <v>283</v>
      </c>
      <c r="C90" s="23">
        <v>8</v>
      </c>
      <c r="D90" s="23" t="s">
        <v>296</v>
      </c>
      <c r="E90" s="23"/>
      <c r="F90" s="22" t="s">
        <v>283</v>
      </c>
    </row>
    <row r="91" spans="1:6">
      <c r="A91" s="23" t="s">
        <v>269</v>
      </c>
      <c r="B91" s="23" t="s">
        <v>283</v>
      </c>
      <c r="C91" s="23">
        <v>9</v>
      </c>
      <c r="D91" s="23" t="s">
        <v>297</v>
      </c>
      <c r="E91" s="23"/>
      <c r="F91" s="22" t="s">
        <v>283</v>
      </c>
    </row>
    <row r="92" spans="1:6">
      <c r="A92" s="23" t="s">
        <v>270</v>
      </c>
      <c r="B92" s="23" t="s">
        <v>283</v>
      </c>
      <c r="C92" s="23">
        <v>10</v>
      </c>
      <c r="D92" s="23" t="s">
        <v>298</v>
      </c>
      <c r="E92" s="23"/>
      <c r="F92" s="22" t="s">
        <v>283</v>
      </c>
    </row>
    <row r="93" spans="1:6">
      <c r="A93" s="23" t="s">
        <v>271</v>
      </c>
      <c r="B93" s="23" t="s">
        <v>283</v>
      </c>
      <c r="C93" s="23">
        <v>11</v>
      </c>
      <c r="D93" s="23" t="s">
        <v>299</v>
      </c>
      <c r="E93" s="23"/>
      <c r="F93" s="22" t="s">
        <v>283</v>
      </c>
    </row>
    <row r="94" spans="1:6">
      <c r="A94" s="23" t="s">
        <v>272</v>
      </c>
      <c r="B94" s="23" t="s">
        <v>283</v>
      </c>
      <c r="C94" s="23">
        <v>12</v>
      </c>
      <c r="D94" s="23" t="s">
        <v>300</v>
      </c>
      <c r="E94" s="23"/>
      <c r="F94" s="22" t="s">
        <v>283</v>
      </c>
    </row>
    <row r="95" spans="1:6">
      <c r="A95" s="23" t="s">
        <v>273</v>
      </c>
      <c r="B95" s="23" t="s">
        <v>283</v>
      </c>
      <c r="C95" s="23">
        <v>13</v>
      </c>
      <c r="D95" s="23" t="s">
        <v>301</v>
      </c>
      <c r="E95" s="23"/>
      <c r="F95" s="22" t="s">
        <v>283</v>
      </c>
    </row>
    <row r="96" spans="1:6">
      <c r="A96" s="23" t="s">
        <v>274</v>
      </c>
      <c r="B96" s="23" t="s">
        <v>283</v>
      </c>
      <c r="C96" s="23">
        <v>14</v>
      </c>
      <c r="D96" s="23" t="s">
        <v>302</v>
      </c>
      <c r="E96" s="23"/>
      <c r="F96" s="22" t="s">
        <v>283</v>
      </c>
    </row>
    <row r="97" spans="1:6">
      <c r="A97" s="23" t="s">
        <v>275</v>
      </c>
      <c r="B97" s="23" t="s">
        <v>283</v>
      </c>
      <c r="C97" s="23">
        <v>15</v>
      </c>
      <c r="D97" s="23" t="s">
        <v>303</v>
      </c>
      <c r="E97" s="23"/>
      <c r="F97" s="22" t="s">
        <v>283</v>
      </c>
    </row>
    <row r="98" spans="1:6">
      <c r="A98" s="23" t="s">
        <v>276</v>
      </c>
      <c r="B98" s="23" t="s">
        <v>283</v>
      </c>
      <c r="C98" s="23">
        <v>16</v>
      </c>
      <c r="D98" s="23" t="s">
        <v>304</v>
      </c>
      <c r="E98" s="23"/>
      <c r="F98" s="22" t="s">
        <v>283</v>
      </c>
    </row>
    <row r="99" spans="1:6">
      <c r="A99" s="23" t="s">
        <v>277</v>
      </c>
      <c r="B99" s="23" t="s">
        <v>283</v>
      </c>
      <c r="C99" s="23">
        <v>17</v>
      </c>
      <c r="D99" s="23" t="s">
        <v>305</v>
      </c>
      <c r="E99" s="23"/>
      <c r="F99" s="22" t="s">
        <v>283</v>
      </c>
    </row>
    <row r="100" spans="1:6">
      <c r="A100" s="23" t="s">
        <v>278</v>
      </c>
      <c r="B100" s="23" t="s">
        <v>283</v>
      </c>
      <c r="C100" s="23">
        <v>18</v>
      </c>
      <c r="D100" s="23" t="s">
        <v>306</v>
      </c>
      <c r="E100" s="23"/>
      <c r="F100" s="22" t="s">
        <v>283</v>
      </c>
    </row>
    <row r="101" spans="1:6">
      <c r="A101" s="23" t="s">
        <v>284</v>
      </c>
      <c r="B101" s="23" t="s">
        <v>283</v>
      </c>
      <c r="C101" s="23">
        <v>19</v>
      </c>
      <c r="D101" s="23" t="s">
        <v>307</v>
      </c>
      <c r="E101" s="23"/>
      <c r="F101" s="22" t="s">
        <v>283</v>
      </c>
    </row>
    <row r="102" spans="1:6">
      <c r="A102" s="23" t="s">
        <v>307</v>
      </c>
      <c r="B102" s="23" t="s">
        <v>283</v>
      </c>
      <c r="C102" s="23"/>
      <c r="D102" s="23"/>
      <c r="E102" s="23"/>
      <c r="F102" s="22"/>
    </row>
    <row r="103" spans="1:6">
      <c r="A103" s="23" t="s">
        <v>282</v>
      </c>
      <c r="B103" s="23"/>
      <c r="C103" s="23"/>
      <c r="D103" s="23"/>
      <c r="E103" s="23"/>
      <c r="F103" s="22"/>
    </row>
    <row r="104" spans="1:6">
      <c r="A104" s="23" t="s">
        <v>307</v>
      </c>
      <c r="B104" s="23"/>
      <c r="C104" s="23"/>
      <c r="D104" s="23"/>
      <c r="E104" s="23"/>
      <c r="F104" s="22"/>
    </row>
    <row r="105" spans="1:6">
      <c r="A105" s="23"/>
      <c r="B105" s="23"/>
      <c r="C105" s="23"/>
      <c r="D105" s="23"/>
      <c r="E105" s="23"/>
      <c r="F105" s="22"/>
    </row>
    <row r="106" spans="1:6">
      <c r="A106" s="23"/>
      <c r="B106" s="23"/>
      <c r="C106" s="23"/>
      <c r="D106" s="23"/>
      <c r="E106" s="23"/>
      <c r="F106" s="22"/>
    </row>
    <row r="107" spans="1:6">
      <c r="A107" s="23"/>
      <c r="B107" s="23"/>
      <c r="C107" s="23"/>
      <c r="D107" s="23"/>
      <c r="E107" s="23"/>
      <c r="F107" s="22"/>
    </row>
    <row r="108" spans="1:6">
      <c r="A108" s="23"/>
      <c r="B108" s="23"/>
      <c r="C108" s="23"/>
      <c r="D108" s="23"/>
      <c r="E108" s="23"/>
      <c r="F108" s="22"/>
    </row>
    <row r="109" spans="1:6">
      <c r="A109" s="23"/>
      <c r="B109" s="23"/>
      <c r="C109" s="23"/>
      <c r="D109" s="23"/>
      <c r="E109" s="23"/>
      <c r="F109" s="22"/>
    </row>
    <row r="110" spans="1:6">
      <c r="A110" s="23"/>
      <c r="B110" s="23"/>
      <c r="C110" s="23"/>
      <c r="D110" s="23"/>
      <c r="E110" s="23"/>
      <c r="F110" s="22"/>
    </row>
    <row r="111" spans="1:6">
      <c r="A111" s="23"/>
      <c r="B111" s="23"/>
      <c r="C111" s="23"/>
      <c r="D111" s="23"/>
      <c r="E111" s="23"/>
      <c r="F111" s="22"/>
    </row>
    <row r="112" spans="1:6">
      <c r="A112" s="23"/>
      <c r="B112" s="23"/>
      <c r="C112" s="23"/>
      <c r="D112" s="23"/>
      <c r="E112" s="23"/>
      <c r="F112" s="22"/>
    </row>
    <row r="113" spans="1:6">
      <c r="A113" s="23"/>
      <c r="B113" s="23"/>
      <c r="C113" s="23"/>
      <c r="D113" s="23"/>
      <c r="E113" s="23"/>
      <c r="F113" s="22"/>
    </row>
    <row r="114" spans="1:6">
      <c r="A114" s="23"/>
      <c r="B114" s="23"/>
      <c r="C114" s="23"/>
      <c r="D114" s="23"/>
      <c r="E114" s="23"/>
      <c r="F114" s="22"/>
    </row>
    <row r="115" spans="1:6">
      <c r="A115" s="23"/>
      <c r="B115" s="23"/>
      <c r="C115" s="23"/>
      <c r="D115" s="23"/>
      <c r="E115" s="23"/>
      <c r="F115" s="22"/>
    </row>
    <row r="116" spans="1:6">
      <c r="A116" s="23"/>
      <c r="B116" s="23"/>
      <c r="C116" s="23"/>
      <c r="D116" s="23"/>
      <c r="E116" s="23"/>
      <c r="F116" s="22"/>
    </row>
    <row r="117" spans="1:6">
      <c r="A117" s="23"/>
      <c r="B117" s="23"/>
      <c r="C117" s="23"/>
      <c r="D117" s="23"/>
      <c r="E117" s="23"/>
      <c r="F117" s="22"/>
    </row>
    <row r="118" spans="1:6">
      <c r="A118" s="23"/>
      <c r="B118" s="23"/>
      <c r="C118" s="23"/>
      <c r="D118" s="23"/>
      <c r="E118" s="23"/>
      <c r="F118" s="22"/>
    </row>
    <row r="119" spans="1:6">
      <c r="A119" s="23"/>
      <c r="B119" s="23"/>
      <c r="C119" s="23"/>
      <c r="D119" s="23"/>
      <c r="E119" s="23"/>
      <c r="F119" s="22"/>
    </row>
    <row r="120" spans="1:6">
      <c r="A120" s="23"/>
      <c r="B120" s="23"/>
      <c r="C120" s="23"/>
      <c r="D120" s="23"/>
      <c r="E120" s="23"/>
      <c r="F120" s="22"/>
    </row>
    <row r="121" spans="1:6">
      <c r="A121" s="23"/>
      <c r="B121" s="23"/>
      <c r="C121" s="23"/>
      <c r="D121" s="23"/>
      <c r="E121" s="23"/>
      <c r="F121" s="22"/>
    </row>
    <row r="122" spans="1:6">
      <c r="A122" s="23"/>
      <c r="B122" s="23"/>
      <c r="C122" s="23"/>
      <c r="D122" s="23"/>
      <c r="E122" s="23"/>
      <c r="F122" s="22"/>
    </row>
    <row r="123" spans="1:6">
      <c r="A123" s="23"/>
      <c r="B123" s="23"/>
      <c r="C123" s="23"/>
      <c r="D123" s="23"/>
      <c r="E123" s="23"/>
      <c r="F123" s="22"/>
    </row>
    <row r="124" spans="1:6">
      <c r="A124" s="23"/>
      <c r="B124" s="23"/>
      <c r="C124" s="23"/>
      <c r="D124" s="23"/>
      <c r="E124" s="23"/>
      <c r="F124" s="22"/>
    </row>
    <row r="125" spans="1:6">
      <c r="A125" s="23"/>
      <c r="B125" s="23"/>
      <c r="C125" s="23"/>
      <c r="D125" s="23"/>
      <c r="E125" s="23"/>
      <c r="F125" s="22"/>
    </row>
  </sheetData>
  <hyperlinks>
    <hyperlink ref="B5" r:id="rId1"/>
    <hyperlink ref="B32" r:id="rId2"/>
    <hyperlink ref="B33" r:id="rId3"/>
    <hyperlink ref="B34" r:id="rId4"/>
    <hyperlink ref="B40" r:id="rId5" display="https://poker.bwin.com/en/poker/download?wm=4122331&amp;zoneId=1570104"/>
    <hyperlink ref="B41" r:id="rId6" display="https://poker.bwin.com/en/poker/download?wm=4122331&amp;zoneId=1570104"/>
    <hyperlink ref="B42" r:id="rId7" display="https://poker.bwin.com/en/poker/download?wm=4122331&amp;zoneId=1570104"/>
    <hyperlink ref="B43" r:id="rId8" display="https://poker.bwin.com/en/poker/download?wm=4122331&amp;zoneId=1570104"/>
    <hyperlink ref="B44" r:id="rId9" display="https://poker.bwin.com/en/poker/download?wm=4122331&amp;zoneId=1570104"/>
    <hyperlink ref="B45" r:id="rId10" display="https://poker.bwin.com/en/poker/download?wm=4122331&amp;zoneId=1570104"/>
    <hyperlink ref="B46" r:id="rId11" display="https://poker.bwin.com/en/poker/download?wm=4122331&amp;zoneId=1570104"/>
    <hyperlink ref="B47" r:id="rId12" display="https://poker.bwin.com/en/poker/download?wm=4122331&amp;zoneId=1570104"/>
    <hyperlink ref="B48" r:id="rId13" display="https://poker.bwin.com/en/poker/download?wm=4122331&amp;zoneId=1570104"/>
    <hyperlink ref="B49" r:id="rId14" display="https://poker.bwin.com/en/poker/download?wm=4122331&amp;zoneId=1570104"/>
    <hyperlink ref="B50" r:id="rId15" display="https://poker.bwin.com/en/poker/download?wm=4122331&amp;zoneId=1570104"/>
    <hyperlink ref="B51" r:id="rId16" display="https://poker.bwin.com/en/poker/download?wm=4122331&amp;zoneId=1570104"/>
    <hyperlink ref="B6" r:id="rId17" display="https://sports.bwin.com/en/sports?wm=4128472&amp;zoneId=1570108"/>
    <hyperlink ref="B11" r:id="rId18" display="https://sports.bwin.com/en/sports?wm=4128472&amp;zoneId=1570108"/>
    <hyperlink ref="B12" r:id="rId19" display="https://sports.bwin.com/en/sports?wm=4128472&amp;zoneId=1570108"/>
    <hyperlink ref="B13" r:id="rId20" display="https://sports.bwin.com/en/sports?wm=4128472&amp;zoneId=1570108"/>
    <hyperlink ref="B14" r:id="rId21" display="https://sports.bwin.com/en/sports?wm=4128472&amp;zoneId=1570108"/>
    <hyperlink ref="B15" r:id="rId22" display="https://sports.bwin.com/en/sports?wm=4128472&amp;zoneId=1570108"/>
    <hyperlink ref="B16" r:id="rId23" display="https://sports.bwin.com/en/sports?wm=4128472&amp;zoneId=1570108"/>
    <hyperlink ref="B17" r:id="rId24" display="https://sports.bwin.com/en/sports?wm=4128472&amp;zoneId=1570108"/>
    <hyperlink ref="B18" r:id="rId25" display="https://sports.bwin.com/en/sports?wm=4128472&amp;zoneId=1570108"/>
    <hyperlink ref="B19" r:id="rId26" display="https://sports.bwin.com/en/sports?wm=4128472&amp;zoneId=1570108"/>
    <hyperlink ref="B20" r:id="rId27" display="https://sports.bwin.com/en/sports?wm=4128472&amp;zoneId=1570108"/>
    <hyperlink ref="B21" r:id="rId28" display="https://sports.bwin.com/en/sports?wm=4128472&amp;zoneId=1570108"/>
    <hyperlink ref="B22" r:id="rId29" display="https://sports.bwin.com/en/sports?wm=4128472&amp;zoneId=1570108"/>
    <hyperlink ref="B57" r:id="rId30"/>
    <hyperlink ref="B58" r:id="rId31"/>
    <hyperlink ref="B59" r:id="rId32"/>
    <hyperlink ref="B64" r:id="rId33" display="http://www.partycasino.com?wm=4128477&amp;zoneId=1570111"/>
    <hyperlink ref="B65" r:id="rId34" display="http://www.partycasino.com?wm=4128477&amp;zoneId=1570111"/>
    <hyperlink ref="B66" r:id="rId35" display="http://www.partycasino.com?wm=4128477&amp;zoneId=1570111"/>
    <hyperlink ref="B67" r:id="rId36" display="http://www.partycasino.com?wm=4128477&amp;zoneId=1570111"/>
    <hyperlink ref="B68" r:id="rId37" display="http://www.partycasino.com?wm=4128477&amp;zoneId=1570111"/>
    <hyperlink ref="B69" r:id="rId38" display="http://www.partycasino.com?wm=4128477&amp;zoneId=1570111"/>
    <hyperlink ref="B70" r:id="rId39" display="http://www.partycasino.com?wm=4128477&amp;zoneId=1570111"/>
    <hyperlink ref="B71" r:id="rId40" display="http://www.partycasino.com?wm=4128477&amp;zoneId=1570111"/>
    <hyperlink ref="B72" r:id="rId41" display="http://www.partycasino.com?wm=4128477&amp;zoneId=1570111"/>
    <hyperlink ref="B73" r:id="rId42" display="http://www.partycasino.com?wm=4128477&amp;zoneId=1570111"/>
    <hyperlink ref="B74" r:id="rId43" display="http://www.partycasino.com?wm=4128477&amp;zoneId=1570111"/>
    <hyperlink ref="B75" r:id="rId44" display="http://www.partycasino.com?wm=4128477&amp;zoneId=1570111"/>
    <hyperlink ref="B76" r:id="rId45" display="http://www.partycasino.com?wm=4128477&amp;zoneId=1570111"/>
    <hyperlink ref="B7" r:id="rId46" display="https://sports.bwin.com/en/sports?wm=4128472&amp;zoneId=1570108"/>
    <hyperlink ref="B8" r:id="rId47" display="https://sports.bwin.com/en/sports?wm=4128472&amp;zoneId=1570108"/>
    <hyperlink ref="B35" r:id="rId48"/>
    <hyperlink ref="B36" r:id="rId49"/>
    <hyperlink ref="B37" r:id="rId50"/>
    <hyperlink ref="B62" r:id="rId51"/>
    <hyperlink ref="B61" r:id="rId5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3"/>
  <dimension ref="A1:K153"/>
  <sheetViews>
    <sheetView workbookViewId="0">
      <selection activeCell="A2" sqref="A2:A77"/>
    </sheetView>
  </sheetViews>
  <sheetFormatPr defaultRowHeight="15"/>
  <cols>
    <col min="1" max="1" width="25.5703125" bestFit="1" customWidth="1"/>
    <col min="2" max="2" width="9.7109375" bestFit="1" customWidth="1"/>
    <col min="3" max="3" width="20.7109375" bestFit="1" customWidth="1"/>
    <col min="4" max="4" width="31" bestFit="1" customWidth="1"/>
    <col min="5" max="5" width="32.28515625" bestFit="1" customWidth="1"/>
    <col min="7" max="7" width="31" bestFit="1" customWidth="1"/>
    <col min="8" max="8" width="2.7109375" bestFit="1" customWidth="1"/>
  </cols>
  <sheetData>
    <row r="1" spans="1:10" ht="15.75" thickBot="1">
      <c r="A1" s="23" t="s">
        <v>448</v>
      </c>
      <c r="B1" s="23" t="s">
        <v>208</v>
      </c>
      <c r="C1" s="23" t="s">
        <v>233</v>
      </c>
      <c r="D1" s="23" t="s">
        <v>445</v>
      </c>
      <c r="E1" s="23" t="s">
        <v>447</v>
      </c>
      <c r="G1" s="61" t="s">
        <v>446</v>
      </c>
      <c r="H1" s="62">
        <v>2</v>
      </c>
      <c r="J1" t="s">
        <v>449</v>
      </c>
    </row>
    <row r="2" spans="1:10">
      <c r="A2" t="s">
        <v>563</v>
      </c>
      <c r="B2" s="23" t="s">
        <v>232</v>
      </c>
      <c r="C2" s="23"/>
      <c r="D2" s="23"/>
      <c r="E2" s="23"/>
      <c r="G2" s="23"/>
      <c r="H2" s="13"/>
    </row>
    <row r="3" spans="1:10">
      <c r="A3" t="s">
        <v>575</v>
      </c>
      <c r="B3" s="23" t="s">
        <v>221</v>
      </c>
      <c r="C3" s="23"/>
      <c r="D3" s="23"/>
      <c r="E3" s="23"/>
      <c r="G3" s="23"/>
      <c r="H3" s="13"/>
    </row>
    <row r="4" spans="1:10">
      <c r="A4" t="s">
        <v>572</v>
      </c>
      <c r="B4" s="23" t="s">
        <v>213</v>
      </c>
      <c r="C4" s="23"/>
      <c r="D4" s="23"/>
      <c r="E4" s="23"/>
      <c r="G4" s="23"/>
      <c r="H4" s="13"/>
    </row>
    <row r="5" spans="1:10">
      <c r="A5" t="s">
        <v>570</v>
      </c>
      <c r="B5" s="23" t="s">
        <v>223</v>
      </c>
      <c r="C5" s="23"/>
      <c r="D5" s="23"/>
      <c r="E5" s="23"/>
      <c r="G5" s="23"/>
      <c r="H5" s="13"/>
    </row>
    <row r="6" spans="1:10">
      <c r="A6" t="s">
        <v>557</v>
      </c>
      <c r="B6" s="23" t="s">
        <v>232</v>
      </c>
      <c r="C6" s="23"/>
      <c r="D6" s="23"/>
      <c r="E6" s="23"/>
      <c r="G6" s="23"/>
      <c r="H6" s="13"/>
    </row>
    <row r="7" spans="1:10">
      <c r="A7" t="s">
        <v>561</v>
      </c>
      <c r="B7" s="23" t="s">
        <v>232</v>
      </c>
      <c r="C7" s="23"/>
      <c r="D7" s="23"/>
      <c r="E7" s="23"/>
      <c r="G7" s="23"/>
      <c r="H7" s="13"/>
    </row>
    <row r="8" spans="1:10">
      <c r="A8" t="s">
        <v>553</v>
      </c>
      <c r="B8" s="23" t="s">
        <v>232</v>
      </c>
      <c r="C8" s="23"/>
      <c r="D8" s="23"/>
      <c r="E8" s="23"/>
      <c r="G8" s="23"/>
      <c r="H8" s="13"/>
    </row>
    <row r="9" spans="1:10">
      <c r="A9" t="s">
        <v>571</v>
      </c>
      <c r="B9" s="23" t="s">
        <v>213</v>
      </c>
      <c r="C9" s="23"/>
      <c r="D9" s="23"/>
      <c r="E9" s="23"/>
      <c r="G9" s="23"/>
      <c r="H9" s="13"/>
    </row>
    <row r="10" spans="1:10">
      <c r="A10" t="s">
        <v>586</v>
      </c>
      <c r="B10" s="23" t="s">
        <v>214</v>
      </c>
      <c r="C10" s="23"/>
      <c r="D10" s="23"/>
      <c r="E10" s="23"/>
      <c r="G10" s="23"/>
      <c r="H10" s="13"/>
    </row>
    <row r="11" spans="1:10">
      <c r="A11" t="s">
        <v>587</v>
      </c>
      <c r="B11" s="23" t="s">
        <v>215</v>
      </c>
      <c r="C11" s="23"/>
      <c r="D11" s="23"/>
      <c r="E11" s="23"/>
      <c r="G11" s="23"/>
      <c r="H11" s="13"/>
    </row>
    <row r="12" spans="1:10">
      <c r="A12" t="s">
        <v>588</v>
      </c>
      <c r="B12" s="23" t="s">
        <v>216</v>
      </c>
      <c r="C12" s="23"/>
      <c r="D12" s="23"/>
      <c r="E12" s="23"/>
      <c r="G12" s="23"/>
      <c r="H12" s="13"/>
    </row>
    <row r="13" spans="1:10">
      <c r="A13" t="s">
        <v>589</v>
      </c>
      <c r="B13" s="23" t="s">
        <v>217</v>
      </c>
      <c r="C13" s="23"/>
      <c r="D13" s="23"/>
      <c r="E13" s="23"/>
      <c r="G13" s="23"/>
      <c r="H13" s="13"/>
    </row>
    <row r="14" spans="1:10">
      <c r="A14" t="s">
        <v>590</v>
      </c>
      <c r="B14" s="23" t="s">
        <v>218</v>
      </c>
      <c r="C14" s="23"/>
      <c r="D14" s="23"/>
      <c r="E14" s="23"/>
      <c r="G14" s="23"/>
      <c r="H14" s="13"/>
    </row>
    <row r="15" spans="1:10">
      <c r="A15" t="s">
        <v>574</v>
      </c>
      <c r="B15" s="23" t="s">
        <v>213</v>
      </c>
      <c r="C15" s="23"/>
      <c r="D15" s="23"/>
      <c r="E15" s="23"/>
      <c r="G15" s="23"/>
      <c r="H15" s="13"/>
    </row>
    <row r="16" spans="1:10">
      <c r="A16" t="s">
        <v>573</v>
      </c>
      <c r="B16" s="23" t="s">
        <v>215</v>
      </c>
      <c r="C16" s="23"/>
      <c r="D16" s="23"/>
      <c r="E16" s="23"/>
      <c r="G16" s="23"/>
      <c r="H16" s="13"/>
    </row>
    <row r="17" spans="1:8">
      <c r="A17" t="s">
        <v>577</v>
      </c>
      <c r="B17" s="23" t="s">
        <v>154</v>
      </c>
      <c r="C17" s="23"/>
      <c r="D17" s="23"/>
      <c r="E17" s="23"/>
      <c r="G17" s="23"/>
      <c r="H17" s="13"/>
    </row>
    <row r="18" spans="1:8">
      <c r="A18" t="s">
        <v>566</v>
      </c>
      <c r="B18" s="23" t="s">
        <v>232</v>
      </c>
      <c r="C18" s="23"/>
      <c r="D18" s="23"/>
      <c r="E18" s="23"/>
      <c r="G18" s="23"/>
      <c r="H18" s="13"/>
    </row>
    <row r="19" spans="1:8">
      <c r="A19" t="s">
        <v>555</v>
      </c>
      <c r="B19" s="23" t="s">
        <v>232</v>
      </c>
      <c r="C19" s="23"/>
      <c r="D19" s="23"/>
      <c r="E19" s="23"/>
      <c r="G19" s="23"/>
      <c r="H19" s="13"/>
    </row>
    <row r="20" spans="1:8">
      <c r="A20" t="s">
        <v>552</v>
      </c>
      <c r="B20" s="23" t="s">
        <v>232</v>
      </c>
      <c r="C20" s="23"/>
      <c r="D20" s="23"/>
      <c r="E20" s="23"/>
      <c r="G20" s="23"/>
      <c r="H20" s="13"/>
    </row>
    <row r="21" spans="1:8">
      <c r="A21" t="s">
        <v>542</v>
      </c>
      <c r="B21" s="23" t="s">
        <v>221</v>
      </c>
      <c r="C21" s="23"/>
      <c r="D21" s="23"/>
      <c r="E21" s="23"/>
      <c r="G21" s="23"/>
      <c r="H21" s="13"/>
    </row>
    <row r="22" spans="1:8">
      <c r="A22" t="s">
        <v>475</v>
      </c>
      <c r="B22" s="23" t="s">
        <v>232</v>
      </c>
      <c r="C22" s="23"/>
      <c r="D22" s="23"/>
      <c r="E22" s="23"/>
      <c r="G22" s="23"/>
      <c r="H22" s="13"/>
    </row>
    <row r="23" spans="1:8">
      <c r="A23" t="s">
        <v>539</v>
      </c>
      <c r="B23" s="23" t="s">
        <v>232</v>
      </c>
      <c r="C23" s="23"/>
      <c r="D23" s="23"/>
      <c r="E23" s="23"/>
      <c r="G23" s="23"/>
      <c r="H23" s="13"/>
    </row>
    <row r="24" spans="1:8">
      <c r="A24" t="s">
        <v>551</v>
      </c>
      <c r="B24" s="23" t="s">
        <v>232</v>
      </c>
      <c r="C24" s="23"/>
      <c r="D24" s="23"/>
      <c r="E24" s="23"/>
      <c r="G24" s="23"/>
      <c r="H24" s="13"/>
    </row>
    <row r="25" spans="1:8">
      <c r="A25" t="s">
        <v>556</v>
      </c>
      <c r="B25" s="23" t="s">
        <v>154</v>
      </c>
      <c r="C25" s="23"/>
      <c r="D25" s="23"/>
      <c r="E25" s="23"/>
      <c r="G25" s="23"/>
      <c r="H25" s="13"/>
    </row>
    <row r="26" spans="1:8">
      <c r="A26" t="s">
        <v>540</v>
      </c>
      <c r="B26" s="23" t="s">
        <v>232</v>
      </c>
      <c r="C26" s="23"/>
      <c r="D26" s="23"/>
      <c r="E26" s="23"/>
      <c r="G26" s="23"/>
      <c r="H26" s="13"/>
    </row>
    <row r="27" spans="1:8">
      <c r="A27" t="s">
        <v>578</v>
      </c>
      <c r="B27" s="23" t="s">
        <v>215</v>
      </c>
      <c r="C27" s="23"/>
      <c r="D27" s="23"/>
      <c r="E27" s="23"/>
      <c r="G27" s="23"/>
      <c r="H27" s="13"/>
    </row>
    <row r="28" spans="1:8">
      <c r="A28" t="s">
        <v>544</v>
      </c>
      <c r="B28" s="23" t="s">
        <v>232</v>
      </c>
      <c r="C28" s="23"/>
      <c r="D28" s="23"/>
      <c r="E28" s="23"/>
      <c r="G28" s="23"/>
      <c r="H28" s="13"/>
    </row>
    <row r="29" spans="1:8">
      <c r="A29" t="s">
        <v>558</v>
      </c>
      <c r="B29" s="23" t="s">
        <v>221</v>
      </c>
      <c r="C29" s="23"/>
      <c r="D29" s="23"/>
      <c r="E29" s="23"/>
      <c r="G29" s="23"/>
      <c r="H29" s="13"/>
    </row>
    <row r="30" spans="1:8">
      <c r="A30" t="s">
        <v>550</v>
      </c>
      <c r="B30" s="23" t="s">
        <v>232</v>
      </c>
      <c r="C30" s="23"/>
      <c r="D30" s="23"/>
      <c r="E30" s="23"/>
      <c r="G30" s="23"/>
      <c r="H30" s="13"/>
    </row>
    <row r="31" spans="1:8">
      <c r="A31" t="s">
        <v>564</v>
      </c>
      <c r="B31" s="23" t="s">
        <v>232</v>
      </c>
      <c r="C31" s="23"/>
      <c r="D31" s="23"/>
      <c r="E31" s="23"/>
      <c r="G31" s="23"/>
      <c r="H31" s="13"/>
    </row>
    <row r="32" spans="1:8">
      <c r="A32" t="s">
        <v>559</v>
      </c>
      <c r="B32" s="23" t="s">
        <v>221</v>
      </c>
      <c r="C32" s="23"/>
      <c r="D32" s="23"/>
      <c r="E32" s="23"/>
      <c r="G32" s="23"/>
      <c r="H32" s="13"/>
    </row>
    <row r="33" spans="1:8">
      <c r="A33" t="s">
        <v>554</v>
      </c>
      <c r="B33" s="23" t="s">
        <v>221</v>
      </c>
      <c r="C33" s="23"/>
      <c r="D33" s="23"/>
      <c r="E33" s="23"/>
      <c r="G33" s="23"/>
      <c r="H33" s="13"/>
    </row>
    <row r="34" spans="1:8">
      <c r="A34" t="s">
        <v>562</v>
      </c>
      <c r="B34" s="23" t="s">
        <v>231</v>
      </c>
      <c r="C34" s="23"/>
      <c r="D34" s="23"/>
      <c r="E34" s="23"/>
      <c r="G34" s="23"/>
      <c r="H34" s="13"/>
    </row>
    <row r="35" spans="1:8">
      <c r="A35" t="s">
        <v>565</v>
      </c>
      <c r="B35" s="23" t="s">
        <v>231</v>
      </c>
      <c r="C35" s="23"/>
      <c r="D35" s="23"/>
      <c r="E35" s="23"/>
      <c r="G35" s="23"/>
      <c r="H35" s="13"/>
    </row>
    <row r="36" spans="1:8">
      <c r="A36" t="s">
        <v>580</v>
      </c>
      <c r="B36" s="23" t="s">
        <v>221</v>
      </c>
      <c r="C36" s="23"/>
      <c r="D36" s="23"/>
      <c r="E36" s="23"/>
      <c r="G36" s="23"/>
      <c r="H36" s="13"/>
    </row>
    <row r="37" spans="1:8">
      <c r="A37" t="s">
        <v>568</v>
      </c>
      <c r="B37" s="23" t="s">
        <v>232</v>
      </c>
      <c r="C37" s="23"/>
      <c r="D37" s="23"/>
      <c r="E37" s="23"/>
      <c r="G37" s="23"/>
      <c r="H37" s="13"/>
    </row>
    <row r="38" spans="1:8">
      <c r="A38" t="s">
        <v>549</v>
      </c>
      <c r="B38" s="23" t="s">
        <v>232</v>
      </c>
      <c r="C38" s="23"/>
      <c r="D38" s="23"/>
      <c r="E38" s="23"/>
      <c r="G38" s="23"/>
      <c r="H38" s="13"/>
    </row>
    <row r="39" spans="1:8">
      <c r="A39" t="s">
        <v>541</v>
      </c>
      <c r="B39" s="23" t="s">
        <v>232</v>
      </c>
      <c r="C39" s="23"/>
      <c r="D39" s="23"/>
      <c r="E39" s="23"/>
      <c r="G39" s="23"/>
      <c r="H39" s="13"/>
    </row>
    <row r="40" spans="1:8">
      <c r="A40" t="s">
        <v>548</v>
      </c>
      <c r="B40" s="23" t="s">
        <v>232</v>
      </c>
      <c r="C40" s="23"/>
      <c r="D40" s="23"/>
      <c r="E40" s="23"/>
      <c r="G40" s="23"/>
      <c r="H40" s="13"/>
    </row>
    <row r="41" spans="1:8">
      <c r="A41" t="s">
        <v>560</v>
      </c>
      <c r="B41" s="23" t="s">
        <v>232</v>
      </c>
      <c r="C41" s="23"/>
      <c r="D41" s="23"/>
      <c r="E41" s="23"/>
      <c r="G41" s="23"/>
      <c r="H41" s="13"/>
    </row>
    <row r="42" spans="1:8">
      <c r="A42" t="s">
        <v>567</v>
      </c>
      <c r="B42" s="23" t="s">
        <v>231</v>
      </c>
      <c r="C42" s="23"/>
      <c r="D42" s="23"/>
      <c r="E42" s="23"/>
      <c r="G42" s="23"/>
      <c r="H42" s="13"/>
    </row>
    <row r="43" spans="1:8">
      <c r="A43" t="s">
        <v>547</v>
      </c>
      <c r="B43" s="23" t="s">
        <v>231</v>
      </c>
      <c r="C43" s="23"/>
      <c r="D43" s="23"/>
      <c r="E43" s="23"/>
      <c r="G43" s="23"/>
      <c r="H43" s="13"/>
    </row>
    <row r="44" spans="1:8">
      <c r="A44" t="s">
        <v>576</v>
      </c>
      <c r="B44" s="23" t="s">
        <v>213</v>
      </c>
      <c r="C44" s="23"/>
      <c r="D44" s="23"/>
      <c r="E44" s="23"/>
      <c r="G44" s="23"/>
      <c r="H44" s="13"/>
    </row>
    <row r="45" spans="1:8">
      <c r="A45" t="s">
        <v>581</v>
      </c>
      <c r="B45" s="23" t="s">
        <v>214</v>
      </c>
      <c r="C45" s="23"/>
      <c r="D45" s="23"/>
      <c r="E45" s="23"/>
      <c r="G45" s="23"/>
      <c r="H45" s="13"/>
    </row>
    <row r="46" spans="1:8">
      <c r="A46" t="s">
        <v>582</v>
      </c>
      <c r="B46" s="23" t="s">
        <v>215</v>
      </c>
      <c r="C46" s="23"/>
      <c r="D46" s="23"/>
      <c r="E46" s="23"/>
      <c r="G46" s="23"/>
      <c r="H46" s="13"/>
    </row>
    <row r="47" spans="1:8">
      <c r="A47" t="s">
        <v>583</v>
      </c>
      <c r="B47" s="23" t="s">
        <v>216</v>
      </c>
      <c r="C47" s="23"/>
      <c r="D47" s="23"/>
      <c r="E47" s="23"/>
      <c r="G47" s="23"/>
      <c r="H47" s="13"/>
    </row>
    <row r="48" spans="1:8">
      <c r="A48" t="s">
        <v>584</v>
      </c>
      <c r="B48" s="23" t="s">
        <v>217</v>
      </c>
      <c r="C48" s="23"/>
      <c r="D48" s="23"/>
      <c r="E48" s="23"/>
      <c r="G48" s="23"/>
      <c r="H48" s="13"/>
    </row>
    <row r="49" spans="1:11">
      <c r="A49" t="s">
        <v>585</v>
      </c>
      <c r="B49" s="23" t="s">
        <v>218</v>
      </c>
      <c r="C49" s="23"/>
      <c r="D49" s="23"/>
      <c r="E49" s="23"/>
      <c r="G49" s="23"/>
      <c r="H49" s="13"/>
    </row>
    <row r="50" spans="1:11">
      <c r="A50" t="s">
        <v>543</v>
      </c>
      <c r="B50" s="23" t="s">
        <v>221</v>
      </c>
      <c r="C50" s="23"/>
      <c r="D50" s="23"/>
      <c r="E50" s="23"/>
      <c r="G50" s="23"/>
      <c r="H50" s="13"/>
    </row>
    <row r="51" spans="1:11">
      <c r="A51" s="23" t="s">
        <v>222</v>
      </c>
      <c r="B51" s="23" t="s">
        <v>154</v>
      </c>
      <c r="C51" s="24">
        <f>2</f>
        <v>2</v>
      </c>
      <c r="D51" s="24">
        <f>C51-H$1/24</f>
        <v>1.9166666666666667</v>
      </c>
      <c r="E51" s="24">
        <v>2</v>
      </c>
      <c r="J51" s="27" t="s">
        <v>313</v>
      </c>
      <c r="K51" s="23">
        <f ca="1">ROUNDDOWN(Wallchart!D13-Wallchart!Q2,0)</f>
        <v>30</v>
      </c>
    </row>
    <row r="52" spans="1:11">
      <c r="A52" s="23" t="s">
        <v>223</v>
      </c>
      <c r="B52" s="23" t="s">
        <v>221</v>
      </c>
      <c r="C52" s="24">
        <f>2+1/24</f>
        <v>2.0416666666666665</v>
      </c>
      <c r="D52" s="24">
        <f t="shared" ref="D52:D77" si="0">C52-H$1/24</f>
        <v>1.9583333333333333</v>
      </c>
      <c r="E52" s="24">
        <v>2.0416666666666665</v>
      </c>
      <c r="J52" s="27" t="s">
        <v>314</v>
      </c>
      <c r="K52" s="23">
        <f ca="1">ROUNDDOWN((Wallchart!D13-Wallchart!Q2-K51)*24,0)</f>
        <v>10</v>
      </c>
    </row>
    <row r="53" spans="1:11">
      <c r="A53" s="23" t="s">
        <v>224</v>
      </c>
      <c r="B53" s="23" t="s">
        <v>224</v>
      </c>
      <c r="C53" s="24">
        <f>2+10/24</f>
        <v>2.4166666666666665</v>
      </c>
      <c r="D53" s="24">
        <f t="shared" si="0"/>
        <v>2.333333333333333</v>
      </c>
      <c r="E53" s="24">
        <v>2.4166666666666665</v>
      </c>
      <c r="J53" s="27" t="s">
        <v>315</v>
      </c>
      <c r="K53" s="23">
        <f ca="1">ROUNDDOWN(((Wallchart!D13-Wallchart!Q2)*24*60)-K51*24*60-K52*60,0)</f>
        <v>12</v>
      </c>
    </row>
    <row r="54" spans="1:11">
      <c r="A54" s="23" t="s">
        <v>225</v>
      </c>
      <c r="B54" s="23" t="s">
        <v>223</v>
      </c>
      <c r="C54" s="24">
        <f>2+11/24</f>
        <v>2.4583333333333335</v>
      </c>
      <c r="D54" s="24">
        <f t="shared" si="0"/>
        <v>2.375</v>
      </c>
      <c r="E54" s="24">
        <v>2.4583333333333335</v>
      </c>
      <c r="J54" s="27" t="s">
        <v>316</v>
      </c>
      <c r="K54" s="23">
        <f ca="1">ROUNDDOWN((Wallchart!D13-Wallchart!Q2)*24*60*60-K51*24*60*60-K52*60*60-K53*60,0)</f>
        <v>28</v>
      </c>
    </row>
    <row r="55" spans="1:11">
      <c r="A55" s="23" t="s">
        <v>226</v>
      </c>
      <c r="B55" s="23" t="s">
        <v>222</v>
      </c>
      <c r="C55" s="24">
        <f>2+12/24</f>
        <v>2.5</v>
      </c>
      <c r="D55" s="24">
        <f t="shared" si="0"/>
        <v>2.4166666666666665</v>
      </c>
      <c r="E55" s="24">
        <v>2.5</v>
      </c>
    </row>
    <row r="56" spans="1:11">
      <c r="A56" s="23" t="s">
        <v>227</v>
      </c>
      <c r="B56" s="23" t="s">
        <v>232</v>
      </c>
      <c r="C56" s="24">
        <f>2+2/24</f>
        <v>2.0833333333333335</v>
      </c>
      <c r="D56" s="24">
        <f t="shared" si="0"/>
        <v>2</v>
      </c>
      <c r="E56" s="24">
        <v>2.0833333333333335</v>
      </c>
    </row>
    <row r="57" spans="1:11">
      <c r="A57" s="23" t="s">
        <v>228</v>
      </c>
      <c r="B57" s="23" t="s">
        <v>231</v>
      </c>
      <c r="C57" s="24">
        <f>2+3/24</f>
        <v>2.125</v>
      </c>
      <c r="D57" s="24">
        <f t="shared" si="0"/>
        <v>2.0416666666666665</v>
      </c>
      <c r="E57" s="24">
        <v>2.125</v>
      </c>
    </row>
    <row r="58" spans="1:11" ht="18.75">
      <c r="A58" s="23" t="s">
        <v>395</v>
      </c>
      <c r="B58" s="23" t="s">
        <v>230</v>
      </c>
      <c r="C58" s="24">
        <f>2+4/24</f>
        <v>2.1666666666666665</v>
      </c>
      <c r="D58" s="24">
        <f t="shared" si="0"/>
        <v>2.083333333333333</v>
      </c>
      <c r="E58" s="24">
        <v>2.1666666666666665</v>
      </c>
    </row>
    <row r="59" spans="1:11">
      <c r="A59" s="23" t="s">
        <v>229</v>
      </c>
      <c r="B59" s="23" t="s">
        <v>229</v>
      </c>
      <c r="C59" s="24">
        <f>2+5/24</f>
        <v>2.2083333333333335</v>
      </c>
      <c r="D59" s="24">
        <f t="shared" si="0"/>
        <v>2.125</v>
      </c>
      <c r="E59" s="24">
        <v>2.2083333333333335</v>
      </c>
    </row>
    <row r="60" spans="1:11" ht="18.75">
      <c r="A60" s="23" t="s">
        <v>230</v>
      </c>
      <c r="B60" s="23" t="s">
        <v>395</v>
      </c>
      <c r="C60" s="24">
        <f>2+5.5/24</f>
        <v>2.2291666666666665</v>
      </c>
      <c r="D60" s="24">
        <f t="shared" si="0"/>
        <v>2.145833333333333</v>
      </c>
      <c r="E60" s="24">
        <v>2.2291666666666665</v>
      </c>
    </row>
    <row r="61" spans="1:11">
      <c r="A61" s="23" t="s">
        <v>231</v>
      </c>
      <c r="B61" s="23" t="s">
        <v>228</v>
      </c>
      <c r="C61" s="24">
        <f>2+6/24</f>
        <v>2.25</v>
      </c>
      <c r="D61" s="24">
        <f t="shared" si="0"/>
        <v>2.1666666666666665</v>
      </c>
      <c r="E61" s="24">
        <v>2.25</v>
      </c>
    </row>
    <row r="62" spans="1:11">
      <c r="A62" s="23" t="s">
        <v>232</v>
      </c>
      <c r="B62" s="23" t="s">
        <v>227</v>
      </c>
      <c r="C62" s="24">
        <f>2+7/24</f>
        <v>2.2916666666666665</v>
      </c>
      <c r="D62" s="24">
        <f t="shared" si="0"/>
        <v>2.208333333333333</v>
      </c>
      <c r="E62" s="24">
        <v>2.2916666666666665</v>
      </c>
    </row>
    <row r="63" spans="1:11">
      <c r="A63" s="23" t="s">
        <v>221</v>
      </c>
      <c r="B63" s="23" t="s">
        <v>226</v>
      </c>
      <c r="C63" s="24">
        <f>2+8/24</f>
        <v>2.3333333333333335</v>
      </c>
      <c r="D63" s="24">
        <f t="shared" si="0"/>
        <v>2.25</v>
      </c>
      <c r="E63" s="24">
        <v>2.3333333333333335</v>
      </c>
    </row>
    <row r="64" spans="1:11">
      <c r="A64" s="23" t="s">
        <v>154</v>
      </c>
      <c r="B64" s="23" t="s">
        <v>225</v>
      </c>
      <c r="C64" s="24">
        <f>2+9/24</f>
        <v>2.375</v>
      </c>
      <c r="D64" s="24">
        <f t="shared" si="0"/>
        <v>2.2916666666666665</v>
      </c>
      <c r="E64" s="24">
        <v>2.375</v>
      </c>
    </row>
    <row r="65" spans="1:5">
      <c r="A65" s="23" t="s">
        <v>211</v>
      </c>
      <c r="B65" s="23" t="s">
        <v>211</v>
      </c>
      <c r="C65" s="24">
        <f>2-1/24</f>
        <v>1.9583333333333333</v>
      </c>
      <c r="D65" s="24">
        <f t="shared" si="0"/>
        <v>1.875</v>
      </c>
      <c r="E65" s="24">
        <f>E64-10/24</f>
        <v>1.9583333333333333</v>
      </c>
    </row>
    <row r="66" spans="1:5">
      <c r="A66" s="23" t="s">
        <v>212</v>
      </c>
      <c r="B66" s="23" t="s">
        <v>220</v>
      </c>
      <c r="C66" s="24">
        <f>2-10/24</f>
        <v>1.5833333333333333</v>
      </c>
      <c r="D66" s="24">
        <f t="shared" si="0"/>
        <v>1.5</v>
      </c>
      <c r="E66" s="24">
        <f>E65-9/24</f>
        <v>1.5833333333333333</v>
      </c>
    </row>
    <row r="67" spans="1:5">
      <c r="A67" s="23" t="s">
        <v>213</v>
      </c>
      <c r="B67" s="23" t="s">
        <v>210</v>
      </c>
      <c r="C67" s="24">
        <f>2-11/24</f>
        <v>1.5416666666666667</v>
      </c>
      <c r="D67" s="24">
        <f t="shared" si="0"/>
        <v>1.4583333333333335</v>
      </c>
      <c r="E67" s="24">
        <f>E66-1/24</f>
        <v>1.5416666666666665</v>
      </c>
    </row>
    <row r="68" spans="1:5">
      <c r="A68" s="23" t="s">
        <v>214</v>
      </c>
      <c r="B68" s="23" t="s">
        <v>209</v>
      </c>
      <c r="C68" s="24">
        <f>2-12/24</f>
        <v>1.5</v>
      </c>
      <c r="D68" s="24">
        <f t="shared" si="0"/>
        <v>1.4166666666666667</v>
      </c>
      <c r="E68" s="24">
        <f>E67-1/24</f>
        <v>1.4999999999999998</v>
      </c>
    </row>
    <row r="69" spans="1:5">
      <c r="A69" s="23" t="s">
        <v>215</v>
      </c>
      <c r="B69" s="23" t="s">
        <v>212</v>
      </c>
      <c r="C69" s="24">
        <f>2-2/24</f>
        <v>1.9166666666666667</v>
      </c>
      <c r="D69" s="24">
        <f t="shared" si="0"/>
        <v>1.8333333333333335</v>
      </c>
      <c r="E69" s="24">
        <f>E51-2/24</f>
        <v>1.9166666666666667</v>
      </c>
    </row>
    <row r="70" spans="1:5" ht="18.75">
      <c r="A70" s="23" t="s">
        <v>396</v>
      </c>
      <c r="B70" s="23" t="s">
        <v>213</v>
      </c>
      <c r="C70" s="24">
        <f>2-3/24</f>
        <v>1.875</v>
      </c>
      <c r="D70" s="24">
        <f t="shared" si="0"/>
        <v>1.7916666666666667</v>
      </c>
      <c r="E70" s="24">
        <f>E69-1/24</f>
        <v>1.875</v>
      </c>
    </row>
    <row r="71" spans="1:5">
      <c r="A71" s="23" t="s">
        <v>216</v>
      </c>
      <c r="B71" s="23" t="s">
        <v>214</v>
      </c>
      <c r="C71" s="24">
        <f>2-4/24</f>
        <v>1.8333333333333333</v>
      </c>
      <c r="D71" s="24">
        <f t="shared" si="0"/>
        <v>1.75</v>
      </c>
      <c r="E71" s="24">
        <f>E70-1/24</f>
        <v>1.8333333333333333</v>
      </c>
    </row>
    <row r="72" spans="1:5">
      <c r="A72" s="23" t="s">
        <v>217</v>
      </c>
      <c r="B72" s="23" t="s">
        <v>215</v>
      </c>
      <c r="C72" s="24">
        <f>2-5/24</f>
        <v>1.7916666666666667</v>
      </c>
      <c r="D72" s="24">
        <f t="shared" si="0"/>
        <v>1.7083333333333335</v>
      </c>
      <c r="E72" s="24">
        <f>E71-1/24</f>
        <v>1.7916666666666665</v>
      </c>
    </row>
    <row r="73" spans="1:5" ht="18.75">
      <c r="A73" s="23" t="s">
        <v>218</v>
      </c>
      <c r="B73" s="23" t="s">
        <v>396</v>
      </c>
      <c r="C73" s="24">
        <f>2-5.5/24</f>
        <v>1.7708333333333333</v>
      </c>
      <c r="D73" s="24">
        <f t="shared" si="0"/>
        <v>1.6875</v>
      </c>
      <c r="E73" s="24">
        <f>E72-0.5/24</f>
        <v>1.7708333333333333</v>
      </c>
    </row>
    <row r="74" spans="1:5">
      <c r="A74" s="23" t="s">
        <v>219</v>
      </c>
      <c r="B74" s="23" t="s">
        <v>216</v>
      </c>
      <c r="C74" s="24">
        <f>2-6/24</f>
        <v>1.75</v>
      </c>
      <c r="D74" s="24">
        <f t="shared" si="0"/>
        <v>1.6666666666666667</v>
      </c>
      <c r="E74" s="24">
        <f>E73-0.5/24</f>
        <v>1.75</v>
      </c>
    </row>
    <row r="75" spans="1:5">
      <c r="A75" s="23" t="s">
        <v>220</v>
      </c>
      <c r="B75" s="23" t="s">
        <v>217</v>
      </c>
      <c r="C75" s="24">
        <f>2-7/24</f>
        <v>1.7083333333333333</v>
      </c>
      <c r="D75" s="24">
        <f t="shared" si="0"/>
        <v>1.625</v>
      </c>
      <c r="E75" s="24">
        <f>E74-1/24</f>
        <v>1.7083333333333333</v>
      </c>
    </row>
    <row r="76" spans="1:5">
      <c r="A76" s="23" t="s">
        <v>210</v>
      </c>
      <c r="B76" s="23" t="s">
        <v>218</v>
      </c>
      <c r="C76" s="24">
        <f>2-8/24</f>
        <v>1.6666666666666667</v>
      </c>
      <c r="D76" s="24">
        <f t="shared" si="0"/>
        <v>1.5833333333333335</v>
      </c>
      <c r="E76" s="24">
        <f>E75-1/24</f>
        <v>1.6666666666666665</v>
      </c>
    </row>
    <row r="77" spans="1:5">
      <c r="A77" s="23" t="s">
        <v>209</v>
      </c>
      <c r="B77" s="23" t="s">
        <v>219</v>
      </c>
      <c r="C77" s="24">
        <f>2-9/24</f>
        <v>1.625</v>
      </c>
      <c r="D77" s="24">
        <f t="shared" si="0"/>
        <v>1.5416666666666667</v>
      </c>
      <c r="E77" s="24">
        <f>E76-1/24</f>
        <v>1.6249999999999998</v>
      </c>
    </row>
    <row r="78" spans="1:5">
      <c r="A78" s="23" t="s">
        <v>234</v>
      </c>
      <c r="B78" s="23"/>
      <c r="C78" s="23"/>
      <c r="D78" s="23"/>
      <c r="E78" s="23"/>
    </row>
    <row r="86" spans="1:1">
      <c r="A86" t="s">
        <v>563</v>
      </c>
    </row>
    <row r="87" spans="1:1">
      <c r="A87" t="s">
        <v>575</v>
      </c>
    </row>
    <row r="88" spans="1:1">
      <c r="A88" t="s">
        <v>572</v>
      </c>
    </row>
    <row r="89" spans="1:1">
      <c r="A89" t="s">
        <v>570</v>
      </c>
    </row>
    <row r="90" spans="1:1">
      <c r="A90" t="s">
        <v>557</v>
      </c>
    </row>
    <row r="91" spans="1:1">
      <c r="A91" t="s">
        <v>561</v>
      </c>
    </row>
    <row r="92" spans="1:1">
      <c r="A92" t="s">
        <v>553</v>
      </c>
    </row>
    <row r="93" spans="1:1">
      <c r="A93" t="s">
        <v>571</v>
      </c>
    </row>
    <row r="94" spans="1:1">
      <c r="A94" t="s">
        <v>579</v>
      </c>
    </row>
    <row r="95" spans="1:1">
      <c r="A95" t="s">
        <v>574</v>
      </c>
    </row>
    <row r="96" spans="1:1">
      <c r="A96" t="s">
        <v>573</v>
      </c>
    </row>
    <row r="97" spans="1:1">
      <c r="A97" t="s">
        <v>577</v>
      </c>
    </row>
    <row r="98" spans="1:1">
      <c r="A98" t="s">
        <v>566</v>
      </c>
    </row>
    <row r="99" spans="1:1">
      <c r="A99" t="s">
        <v>555</v>
      </c>
    </row>
    <row r="100" spans="1:1">
      <c r="A100" t="s">
        <v>552</v>
      </c>
    </row>
    <row r="101" spans="1:1">
      <c r="A101" t="s">
        <v>542</v>
      </c>
    </row>
    <row r="102" spans="1:1">
      <c r="A102" t="s">
        <v>475</v>
      </c>
    </row>
    <row r="103" spans="1:1">
      <c r="A103" t="s">
        <v>539</v>
      </c>
    </row>
    <row r="104" spans="1:1">
      <c r="A104" t="s">
        <v>551</v>
      </c>
    </row>
    <row r="105" spans="1:1">
      <c r="A105" t="s">
        <v>556</v>
      </c>
    </row>
    <row r="106" spans="1:1">
      <c r="A106" t="s">
        <v>540</v>
      </c>
    </row>
    <row r="107" spans="1:1">
      <c r="A107" t="s">
        <v>578</v>
      </c>
    </row>
    <row r="108" spans="1:1">
      <c r="A108" t="s">
        <v>544</v>
      </c>
    </row>
    <row r="109" spans="1:1">
      <c r="A109" t="s">
        <v>558</v>
      </c>
    </row>
    <row r="110" spans="1:1">
      <c r="A110" t="s">
        <v>550</v>
      </c>
    </row>
    <row r="111" spans="1:1">
      <c r="A111" t="s">
        <v>564</v>
      </c>
    </row>
    <row r="112" spans="1:1">
      <c r="A112" t="s">
        <v>559</v>
      </c>
    </row>
    <row r="113" spans="1:1">
      <c r="A113" t="s">
        <v>554</v>
      </c>
    </row>
    <row r="114" spans="1:1">
      <c r="A114" t="s">
        <v>562</v>
      </c>
    </row>
    <row r="115" spans="1:1">
      <c r="A115" t="s">
        <v>565</v>
      </c>
    </row>
    <row r="116" spans="1:1">
      <c r="A116" t="s">
        <v>580</v>
      </c>
    </row>
    <row r="117" spans="1:1">
      <c r="A117" t="s">
        <v>568</v>
      </c>
    </row>
    <row r="118" spans="1:1">
      <c r="A118" t="s">
        <v>549</v>
      </c>
    </row>
    <row r="119" spans="1:1">
      <c r="A119" t="s">
        <v>541</v>
      </c>
    </row>
    <row r="120" spans="1:1">
      <c r="A120" t="s">
        <v>548</v>
      </c>
    </row>
    <row r="121" spans="1:1">
      <c r="A121" t="s">
        <v>560</v>
      </c>
    </row>
    <row r="122" spans="1:1">
      <c r="A122" t="s">
        <v>567</v>
      </c>
    </row>
    <row r="123" spans="1:1">
      <c r="A123" t="s">
        <v>547</v>
      </c>
    </row>
    <row r="124" spans="1:1">
      <c r="A124" t="s">
        <v>576</v>
      </c>
    </row>
    <row r="125" spans="1:1">
      <c r="A125" t="s">
        <v>569</v>
      </c>
    </row>
    <row r="126" spans="1:1">
      <c r="A126" t="s">
        <v>543</v>
      </c>
    </row>
    <row r="127" spans="1:1">
      <c r="A127" s="23" t="s">
        <v>222</v>
      </c>
    </row>
    <row r="128" spans="1:1">
      <c r="A128" s="23" t="s">
        <v>223</v>
      </c>
    </row>
    <row r="129" spans="1:1">
      <c r="A129" s="23" t="s">
        <v>224</v>
      </c>
    </row>
    <row r="130" spans="1:1">
      <c r="A130" s="23" t="s">
        <v>225</v>
      </c>
    </row>
    <row r="131" spans="1:1">
      <c r="A131" s="23" t="s">
        <v>226</v>
      </c>
    </row>
    <row r="132" spans="1:1">
      <c r="A132" s="23" t="s">
        <v>227</v>
      </c>
    </row>
    <row r="133" spans="1:1">
      <c r="A133" s="23" t="s">
        <v>228</v>
      </c>
    </row>
    <row r="134" spans="1:1" ht="18.75">
      <c r="A134" s="23" t="s">
        <v>395</v>
      </c>
    </row>
    <row r="135" spans="1:1">
      <c r="A135" s="23" t="s">
        <v>229</v>
      </c>
    </row>
    <row r="136" spans="1:1">
      <c r="A136" s="23" t="s">
        <v>230</v>
      </c>
    </row>
    <row r="137" spans="1:1">
      <c r="A137" s="23" t="s">
        <v>231</v>
      </c>
    </row>
    <row r="138" spans="1:1">
      <c r="A138" s="23" t="s">
        <v>232</v>
      </c>
    </row>
    <row r="139" spans="1:1">
      <c r="A139" s="23" t="s">
        <v>221</v>
      </c>
    </row>
    <row r="140" spans="1:1">
      <c r="A140" s="23" t="s">
        <v>154</v>
      </c>
    </row>
    <row r="141" spans="1:1">
      <c r="A141" s="23" t="s">
        <v>211</v>
      </c>
    </row>
    <row r="142" spans="1:1">
      <c r="A142" s="23" t="s">
        <v>212</v>
      </c>
    </row>
    <row r="143" spans="1:1">
      <c r="A143" s="23" t="s">
        <v>213</v>
      </c>
    </row>
    <row r="144" spans="1:1">
      <c r="A144" s="23" t="s">
        <v>214</v>
      </c>
    </row>
    <row r="145" spans="1:1">
      <c r="A145" s="23" t="s">
        <v>215</v>
      </c>
    </row>
    <row r="146" spans="1:1" ht="18.75">
      <c r="A146" s="23" t="s">
        <v>396</v>
      </c>
    </row>
    <row r="147" spans="1:1">
      <c r="A147" s="23" t="s">
        <v>216</v>
      </c>
    </row>
    <row r="148" spans="1:1">
      <c r="A148" s="23" t="s">
        <v>217</v>
      </c>
    </row>
    <row r="149" spans="1:1">
      <c r="A149" s="23" t="s">
        <v>218</v>
      </c>
    </row>
    <row r="150" spans="1:1">
      <c r="A150" s="23" t="s">
        <v>219</v>
      </c>
    </row>
    <row r="151" spans="1:1">
      <c r="A151" s="23" t="s">
        <v>220</v>
      </c>
    </row>
    <row r="152" spans="1:1">
      <c r="A152" s="23" t="s">
        <v>210</v>
      </c>
    </row>
    <row r="153" spans="1:1">
      <c r="A153" s="23" t="s">
        <v>209</v>
      </c>
    </row>
  </sheetData>
  <sortState ref="A37:A77">
    <sortCondition ref="A37:A7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4"/>
  <dimension ref="A1:E77"/>
  <sheetViews>
    <sheetView topLeftCell="A64" workbookViewId="0">
      <selection activeCell="D67" sqref="D67"/>
    </sheetView>
  </sheetViews>
  <sheetFormatPr defaultColWidth="8.85546875" defaultRowHeight="15"/>
  <cols>
    <col min="1" max="1" width="20.5703125" style="159" bestFit="1" customWidth="1"/>
    <col min="2" max="2" width="16.85546875" style="159" bestFit="1" customWidth="1"/>
    <col min="3" max="3" width="39.7109375" style="159" customWidth="1"/>
    <col min="4" max="4" width="62.7109375" style="159" bestFit="1" customWidth="1"/>
    <col min="5" max="5" width="9.42578125" style="159" bestFit="1" customWidth="1"/>
    <col min="6" max="16384" width="8.85546875" style="159"/>
  </cols>
  <sheetData>
    <row r="1" spans="1:5">
      <c r="A1" s="159" t="s">
        <v>591</v>
      </c>
      <c r="B1" s="159" t="s">
        <v>595</v>
      </c>
      <c r="C1" s="159" t="s">
        <v>594</v>
      </c>
      <c r="D1" s="159" t="s">
        <v>258</v>
      </c>
      <c r="E1" s="159" t="s">
        <v>592</v>
      </c>
    </row>
    <row r="2" spans="1:5" ht="105">
      <c r="A2" t="s">
        <v>563</v>
      </c>
      <c r="B2" s="160" t="s">
        <v>606</v>
      </c>
      <c r="C2" s="160" t="s">
        <v>607</v>
      </c>
      <c r="D2" s="159" t="s">
        <v>602</v>
      </c>
      <c r="E2" s="159" t="s">
        <v>593</v>
      </c>
    </row>
    <row r="3" spans="1:5" ht="105">
      <c r="A3" t="s">
        <v>575</v>
      </c>
      <c r="B3" s="160" t="s">
        <v>606</v>
      </c>
      <c r="C3" s="160" t="s">
        <v>607</v>
      </c>
      <c r="D3" s="159" t="s">
        <v>602</v>
      </c>
      <c r="E3" s="159" t="s">
        <v>593</v>
      </c>
    </row>
    <row r="4" spans="1:5" ht="105">
      <c r="A4" t="s">
        <v>572</v>
      </c>
      <c r="B4" s="160" t="s">
        <v>606</v>
      </c>
      <c r="C4" s="160" t="s">
        <v>607</v>
      </c>
      <c r="D4" s="159" t="s">
        <v>602</v>
      </c>
      <c r="E4" s="159" t="s">
        <v>593</v>
      </c>
    </row>
    <row r="5" spans="1:5" ht="105">
      <c r="A5" t="s">
        <v>570</v>
      </c>
      <c r="B5" s="160" t="s">
        <v>606</v>
      </c>
      <c r="C5" s="160" t="s">
        <v>607</v>
      </c>
      <c r="D5" s="159" t="s">
        <v>602</v>
      </c>
      <c r="E5" s="159" t="s">
        <v>593</v>
      </c>
    </row>
    <row r="6" spans="1:5" ht="105">
      <c r="A6" t="s">
        <v>557</v>
      </c>
      <c r="B6" s="160" t="s">
        <v>606</v>
      </c>
      <c r="C6" s="160" t="s">
        <v>607</v>
      </c>
      <c r="D6" s="159" t="s">
        <v>602</v>
      </c>
      <c r="E6" s="159" t="s">
        <v>593</v>
      </c>
    </row>
    <row r="7" spans="1:5" ht="105">
      <c r="A7" t="s">
        <v>561</v>
      </c>
      <c r="B7" s="160" t="s">
        <v>606</v>
      </c>
      <c r="C7" s="160" t="s">
        <v>607</v>
      </c>
      <c r="D7" s="159" t="s">
        <v>602</v>
      </c>
      <c r="E7" s="159" t="s">
        <v>593</v>
      </c>
    </row>
    <row r="8" spans="1:5" ht="105">
      <c r="A8" t="s">
        <v>553</v>
      </c>
      <c r="B8" s="160" t="s">
        <v>606</v>
      </c>
      <c r="C8" s="160" t="s">
        <v>607</v>
      </c>
      <c r="D8" s="159" t="s">
        <v>602</v>
      </c>
      <c r="E8" s="159" t="s">
        <v>593</v>
      </c>
    </row>
    <row r="9" spans="1:5" ht="105">
      <c r="A9" t="s">
        <v>571</v>
      </c>
      <c r="B9" s="160" t="s">
        <v>606</v>
      </c>
      <c r="C9" s="160" t="s">
        <v>607</v>
      </c>
      <c r="D9" s="159" t="s">
        <v>602</v>
      </c>
      <c r="E9" s="159" t="s">
        <v>593</v>
      </c>
    </row>
    <row r="10" spans="1:5" ht="105">
      <c r="A10" t="s">
        <v>587</v>
      </c>
      <c r="B10" s="160" t="s">
        <v>606</v>
      </c>
      <c r="C10" s="160" t="s">
        <v>607</v>
      </c>
      <c r="D10" s="159" t="s">
        <v>602</v>
      </c>
      <c r="E10" s="159" t="s">
        <v>593</v>
      </c>
    </row>
    <row r="11" spans="1:5" ht="105">
      <c r="A11" t="s">
        <v>586</v>
      </c>
      <c r="B11" s="160" t="s">
        <v>606</v>
      </c>
      <c r="C11" s="160" t="s">
        <v>607</v>
      </c>
      <c r="D11" s="159" t="s">
        <v>602</v>
      </c>
      <c r="E11" s="159" t="s">
        <v>593</v>
      </c>
    </row>
    <row r="12" spans="1:5" ht="105">
      <c r="A12" t="s">
        <v>590</v>
      </c>
      <c r="B12" s="160" t="s">
        <v>606</v>
      </c>
      <c r="C12" s="160" t="s">
        <v>607</v>
      </c>
      <c r="D12" s="159" t="s">
        <v>602</v>
      </c>
      <c r="E12" s="159" t="s">
        <v>593</v>
      </c>
    </row>
    <row r="13" spans="1:5" ht="105">
      <c r="A13" t="s">
        <v>588</v>
      </c>
      <c r="B13" s="160" t="s">
        <v>606</v>
      </c>
      <c r="C13" s="160" t="s">
        <v>607</v>
      </c>
      <c r="D13" s="159" t="s">
        <v>602</v>
      </c>
      <c r="E13" s="159" t="s">
        <v>593</v>
      </c>
    </row>
    <row r="14" spans="1:5" ht="105">
      <c r="A14" t="s">
        <v>589</v>
      </c>
      <c r="B14" s="160" t="s">
        <v>606</v>
      </c>
      <c r="C14" s="160" t="s">
        <v>607</v>
      </c>
      <c r="D14" s="159" t="s">
        <v>602</v>
      </c>
      <c r="E14" s="159" t="s">
        <v>593</v>
      </c>
    </row>
    <row r="15" spans="1:5" ht="105">
      <c r="A15" t="s">
        <v>574</v>
      </c>
      <c r="B15" s="160" t="s">
        <v>606</v>
      </c>
      <c r="C15" s="160" t="s">
        <v>607</v>
      </c>
      <c r="D15" s="159" t="s">
        <v>602</v>
      </c>
      <c r="E15" s="159" t="s">
        <v>593</v>
      </c>
    </row>
    <row r="16" spans="1:5" ht="105">
      <c r="A16" t="s">
        <v>573</v>
      </c>
      <c r="B16" s="160" t="s">
        <v>606</v>
      </c>
      <c r="C16" s="160" t="s">
        <v>607</v>
      </c>
      <c r="D16" s="159" t="s">
        <v>602</v>
      </c>
      <c r="E16" s="159" t="s">
        <v>593</v>
      </c>
    </row>
    <row r="17" spans="1:5" ht="105">
      <c r="A17" t="s">
        <v>577</v>
      </c>
      <c r="B17" s="160" t="s">
        <v>606</v>
      </c>
      <c r="C17" s="160" t="s">
        <v>607</v>
      </c>
      <c r="D17" s="159" t="s">
        <v>602</v>
      </c>
      <c r="E17" s="159" t="s">
        <v>593</v>
      </c>
    </row>
    <row r="18" spans="1:5" ht="105">
      <c r="A18" t="s">
        <v>566</v>
      </c>
      <c r="B18" s="160" t="s">
        <v>606</v>
      </c>
      <c r="C18" s="160" t="s">
        <v>607</v>
      </c>
      <c r="D18" s="159" t="s">
        <v>602</v>
      </c>
      <c r="E18" s="159" t="s">
        <v>593</v>
      </c>
    </row>
    <row r="19" spans="1:5" ht="105">
      <c r="A19" t="s">
        <v>555</v>
      </c>
      <c r="B19" s="160" t="s">
        <v>606</v>
      </c>
      <c r="C19" s="160" t="s">
        <v>607</v>
      </c>
      <c r="D19" s="159" t="s">
        <v>602</v>
      </c>
      <c r="E19" s="159" t="s">
        <v>593</v>
      </c>
    </row>
    <row r="20" spans="1:5" ht="105">
      <c r="A20" t="s">
        <v>552</v>
      </c>
      <c r="B20" s="160" t="s">
        <v>606</v>
      </c>
      <c r="C20" s="160" t="s">
        <v>607</v>
      </c>
      <c r="D20" s="159" t="s">
        <v>602</v>
      </c>
      <c r="E20" s="159" t="s">
        <v>593</v>
      </c>
    </row>
    <row r="21" spans="1:5" ht="105">
      <c r="A21" t="s">
        <v>542</v>
      </c>
      <c r="B21" s="160" t="s">
        <v>606</v>
      </c>
      <c r="C21" s="160" t="s">
        <v>607</v>
      </c>
      <c r="D21" s="159" t="s">
        <v>602</v>
      </c>
      <c r="E21" s="159" t="s">
        <v>593</v>
      </c>
    </row>
    <row r="22" spans="1:5" ht="105">
      <c r="A22" t="s">
        <v>475</v>
      </c>
      <c r="B22" s="160" t="s">
        <v>606</v>
      </c>
      <c r="C22" s="160" t="s">
        <v>607</v>
      </c>
      <c r="D22" s="159" t="s">
        <v>602</v>
      </c>
      <c r="E22" s="159" t="s">
        <v>593</v>
      </c>
    </row>
    <row r="23" spans="1:5" ht="105">
      <c r="A23" t="s">
        <v>539</v>
      </c>
      <c r="B23" s="160" t="s">
        <v>606</v>
      </c>
      <c r="C23" s="160" t="s">
        <v>607</v>
      </c>
      <c r="D23" s="159" t="s">
        <v>602</v>
      </c>
      <c r="E23" s="159" t="s">
        <v>593</v>
      </c>
    </row>
    <row r="24" spans="1:5" ht="105">
      <c r="A24" s="23" t="s">
        <v>154</v>
      </c>
      <c r="B24" s="160" t="s">
        <v>606</v>
      </c>
      <c r="C24" s="160" t="s">
        <v>607</v>
      </c>
      <c r="D24" s="159" t="s">
        <v>602</v>
      </c>
      <c r="E24" s="159" t="s">
        <v>593</v>
      </c>
    </row>
    <row r="25" spans="1:5" ht="105">
      <c r="A25" s="23" t="s">
        <v>221</v>
      </c>
      <c r="B25" s="160" t="s">
        <v>606</v>
      </c>
      <c r="C25" s="160" t="s">
        <v>607</v>
      </c>
      <c r="D25" s="159" t="s">
        <v>602</v>
      </c>
      <c r="E25" s="159" t="s">
        <v>593</v>
      </c>
    </row>
    <row r="26" spans="1:5" ht="105">
      <c r="A26" s="23" t="s">
        <v>224</v>
      </c>
      <c r="B26" s="160" t="s">
        <v>606</v>
      </c>
      <c r="C26" s="160" t="s">
        <v>607</v>
      </c>
      <c r="D26" s="159" t="s">
        <v>602</v>
      </c>
      <c r="E26" s="159" t="s">
        <v>593</v>
      </c>
    </row>
    <row r="27" spans="1:5" ht="105">
      <c r="A27" s="23" t="s">
        <v>223</v>
      </c>
      <c r="B27" s="160" t="s">
        <v>606</v>
      </c>
      <c r="C27" s="160" t="s">
        <v>607</v>
      </c>
      <c r="D27" s="159" t="s">
        <v>602</v>
      </c>
      <c r="E27" s="159" t="s">
        <v>593</v>
      </c>
    </row>
    <row r="28" spans="1:5" ht="105">
      <c r="A28" s="23" t="s">
        <v>222</v>
      </c>
      <c r="B28" s="160" t="s">
        <v>606</v>
      </c>
      <c r="C28" s="160" t="s">
        <v>607</v>
      </c>
      <c r="D28" s="159" t="s">
        <v>602</v>
      </c>
      <c r="E28" s="159" t="s">
        <v>593</v>
      </c>
    </row>
    <row r="29" spans="1:5" ht="105">
      <c r="A29" s="23" t="s">
        <v>232</v>
      </c>
      <c r="B29" s="160" t="s">
        <v>606</v>
      </c>
      <c r="C29" s="160" t="s">
        <v>607</v>
      </c>
      <c r="D29" s="159" t="s">
        <v>602</v>
      </c>
      <c r="E29" s="159" t="s">
        <v>593</v>
      </c>
    </row>
    <row r="30" spans="1:5" ht="105">
      <c r="A30" s="23" t="s">
        <v>231</v>
      </c>
      <c r="B30" s="160" t="s">
        <v>606</v>
      </c>
      <c r="C30" s="160" t="s">
        <v>607</v>
      </c>
      <c r="D30" s="159" t="s">
        <v>602</v>
      </c>
      <c r="E30" s="159" t="s">
        <v>593</v>
      </c>
    </row>
    <row r="31" spans="1:5" ht="105">
      <c r="A31" s="23" t="s">
        <v>230</v>
      </c>
      <c r="B31" s="160" t="s">
        <v>606</v>
      </c>
      <c r="C31" s="160" t="s">
        <v>607</v>
      </c>
      <c r="D31" s="159" t="s">
        <v>602</v>
      </c>
      <c r="E31" s="159" t="s">
        <v>593</v>
      </c>
    </row>
    <row r="32" spans="1:5" ht="105">
      <c r="A32" s="23" t="s">
        <v>229</v>
      </c>
      <c r="B32" s="160" t="s">
        <v>606</v>
      </c>
      <c r="C32" s="160" t="s">
        <v>607</v>
      </c>
      <c r="D32" s="159" t="s">
        <v>602</v>
      </c>
      <c r="E32" s="159" t="s">
        <v>593</v>
      </c>
    </row>
    <row r="33" spans="1:5" ht="105">
      <c r="A33" s="23" t="s">
        <v>395</v>
      </c>
      <c r="B33" s="160" t="s">
        <v>606</v>
      </c>
      <c r="C33" s="160" t="s">
        <v>607</v>
      </c>
      <c r="D33" s="159" t="s">
        <v>602</v>
      </c>
      <c r="E33" s="159" t="s">
        <v>593</v>
      </c>
    </row>
    <row r="34" spans="1:5" ht="105">
      <c r="A34" s="23" t="s">
        <v>228</v>
      </c>
      <c r="B34" s="160" t="s">
        <v>606</v>
      </c>
      <c r="C34" s="160" t="s">
        <v>607</v>
      </c>
      <c r="D34" s="159" t="s">
        <v>602</v>
      </c>
      <c r="E34" s="159" t="s">
        <v>593</v>
      </c>
    </row>
    <row r="35" spans="1:5" ht="105">
      <c r="A35" s="23" t="s">
        <v>227</v>
      </c>
      <c r="B35" s="160" t="s">
        <v>606</v>
      </c>
      <c r="C35" s="160" t="s">
        <v>607</v>
      </c>
      <c r="D35" s="159" t="s">
        <v>602</v>
      </c>
      <c r="E35" s="159" t="s">
        <v>593</v>
      </c>
    </row>
    <row r="36" spans="1:5" ht="105">
      <c r="A36" s="23" t="s">
        <v>226</v>
      </c>
      <c r="B36" s="160" t="s">
        <v>606</v>
      </c>
      <c r="C36" s="160" t="s">
        <v>607</v>
      </c>
      <c r="D36" s="159" t="s">
        <v>602</v>
      </c>
      <c r="E36" s="159" t="s">
        <v>593</v>
      </c>
    </row>
    <row r="37" spans="1:5" ht="105">
      <c r="A37" s="23" t="s">
        <v>225</v>
      </c>
      <c r="B37" s="160" t="s">
        <v>606</v>
      </c>
      <c r="C37" s="160" t="s">
        <v>607</v>
      </c>
      <c r="D37" s="159" t="s">
        <v>602</v>
      </c>
      <c r="E37" s="159" t="s">
        <v>593</v>
      </c>
    </row>
    <row r="38" spans="1:5" ht="105">
      <c r="A38" s="23" t="s">
        <v>211</v>
      </c>
      <c r="B38" s="160" t="s">
        <v>606</v>
      </c>
      <c r="C38" s="160" t="s">
        <v>607</v>
      </c>
      <c r="D38" s="159" t="s">
        <v>602</v>
      </c>
      <c r="E38" s="159" t="s">
        <v>593</v>
      </c>
    </row>
    <row r="39" spans="1:5" ht="105">
      <c r="A39" s="23" t="s">
        <v>220</v>
      </c>
      <c r="B39" s="160" t="s">
        <v>606</v>
      </c>
      <c r="C39" s="160" t="s">
        <v>607</v>
      </c>
      <c r="D39" s="159" t="s">
        <v>602</v>
      </c>
      <c r="E39" s="159" t="s">
        <v>593</v>
      </c>
    </row>
    <row r="40" spans="1:5" ht="105">
      <c r="A40" s="23" t="s">
        <v>210</v>
      </c>
      <c r="B40" s="160" t="s">
        <v>606</v>
      </c>
      <c r="C40" s="160" t="s">
        <v>607</v>
      </c>
      <c r="D40" s="159" t="s">
        <v>602</v>
      </c>
      <c r="E40" s="159" t="s">
        <v>593</v>
      </c>
    </row>
    <row r="41" spans="1:5" ht="105">
      <c r="A41" s="23" t="s">
        <v>209</v>
      </c>
      <c r="B41" s="160" t="s">
        <v>606</v>
      </c>
      <c r="C41" s="160" t="s">
        <v>607</v>
      </c>
      <c r="D41" s="159" t="s">
        <v>602</v>
      </c>
      <c r="E41" s="159" t="s">
        <v>593</v>
      </c>
    </row>
    <row r="42" spans="1:5" ht="105">
      <c r="A42" s="23" t="s">
        <v>212</v>
      </c>
      <c r="B42" s="160" t="s">
        <v>606</v>
      </c>
      <c r="C42" s="160" t="s">
        <v>607</v>
      </c>
      <c r="D42" s="159" t="s">
        <v>602</v>
      </c>
      <c r="E42" s="159" t="s">
        <v>593</v>
      </c>
    </row>
    <row r="43" spans="1:5" ht="105">
      <c r="A43" s="23" t="s">
        <v>213</v>
      </c>
      <c r="B43" s="160" t="s">
        <v>606</v>
      </c>
      <c r="C43" s="160" t="s">
        <v>607</v>
      </c>
      <c r="D43" s="159" t="s">
        <v>602</v>
      </c>
      <c r="E43" s="159" t="s">
        <v>593</v>
      </c>
    </row>
    <row r="44" spans="1:5" ht="105">
      <c r="A44" s="23" t="s">
        <v>214</v>
      </c>
      <c r="B44" s="160" t="s">
        <v>606</v>
      </c>
      <c r="C44" s="160" t="s">
        <v>607</v>
      </c>
      <c r="D44" s="159" t="s">
        <v>602</v>
      </c>
      <c r="E44" s="159" t="s">
        <v>593</v>
      </c>
    </row>
    <row r="45" spans="1:5" ht="105">
      <c r="A45" s="23" t="s">
        <v>215</v>
      </c>
      <c r="B45" s="160" t="s">
        <v>606</v>
      </c>
      <c r="C45" s="160" t="s">
        <v>607</v>
      </c>
      <c r="D45" s="159" t="s">
        <v>602</v>
      </c>
      <c r="E45" s="159" t="s">
        <v>593</v>
      </c>
    </row>
    <row r="46" spans="1:5" ht="105">
      <c r="A46" s="23" t="s">
        <v>396</v>
      </c>
      <c r="B46" s="160" t="s">
        <v>606</v>
      </c>
      <c r="C46" s="160" t="s">
        <v>607</v>
      </c>
      <c r="D46" s="159" t="s">
        <v>602</v>
      </c>
      <c r="E46" s="159" t="s">
        <v>593</v>
      </c>
    </row>
    <row r="47" spans="1:5" ht="105">
      <c r="A47" s="23" t="s">
        <v>216</v>
      </c>
      <c r="B47" s="160" t="s">
        <v>606</v>
      </c>
      <c r="C47" s="160" t="s">
        <v>607</v>
      </c>
      <c r="D47" s="159" t="s">
        <v>602</v>
      </c>
      <c r="E47" s="159" t="s">
        <v>593</v>
      </c>
    </row>
    <row r="48" spans="1:5" ht="105">
      <c r="A48" s="23" t="s">
        <v>217</v>
      </c>
      <c r="B48" s="160" t="s">
        <v>606</v>
      </c>
      <c r="C48" s="160" t="s">
        <v>607</v>
      </c>
      <c r="D48" s="159" t="s">
        <v>602</v>
      </c>
      <c r="E48" s="159" t="s">
        <v>593</v>
      </c>
    </row>
    <row r="49" spans="1:5" ht="105">
      <c r="A49" s="23" t="s">
        <v>218</v>
      </c>
      <c r="B49" s="160" t="s">
        <v>606</v>
      </c>
      <c r="C49" s="160" t="s">
        <v>607</v>
      </c>
      <c r="D49" s="159" t="s">
        <v>602</v>
      </c>
      <c r="E49" s="159" t="s">
        <v>593</v>
      </c>
    </row>
    <row r="50" spans="1:5" ht="105">
      <c r="A50" s="23" t="s">
        <v>219</v>
      </c>
      <c r="B50" s="160" t="s">
        <v>606</v>
      </c>
      <c r="C50" s="160" t="s">
        <v>607</v>
      </c>
      <c r="D50" s="159" t="s">
        <v>602</v>
      </c>
      <c r="E50" s="159" t="s">
        <v>593</v>
      </c>
    </row>
    <row r="51" spans="1:5" ht="105">
      <c r="A51" t="s">
        <v>551</v>
      </c>
      <c r="B51" s="160" t="s">
        <v>606</v>
      </c>
      <c r="C51" s="160" t="s">
        <v>607</v>
      </c>
      <c r="D51" s="159" t="s">
        <v>602</v>
      </c>
      <c r="E51" s="159" t="s">
        <v>593</v>
      </c>
    </row>
    <row r="52" spans="1:5" ht="105">
      <c r="A52" t="s">
        <v>556</v>
      </c>
      <c r="B52" s="160" t="s">
        <v>606</v>
      </c>
      <c r="C52" s="160" t="s">
        <v>607</v>
      </c>
      <c r="D52" s="159" t="s">
        <v>602</v>
      </c>
      <c r="E52" s="159" t="s">
        <v>593</v>
      </c>
    </row>
    <row r="53" spans="1:5" ht="105">
      <c r="A53" t="s">
        <v>540</v>
      </c>
      <c r="B53" s="160" t="s">
        <v>606</v>
      </c>
      <c r="C53" s="160" t="s">
        <v>607</v>
      </c>
      <c r="D53" s="159" t="s">
        <v>602</v>
      </c>
      <c r="E53" s="159" t="s">
        <v>593</v>
      </c>
    </row>
    <row r="54" spans="1:5" ht="105">
      <c r="A54" t="s">
        <v>578</v>
      </c>
      <c r="B54" s="160" t="s">
        <v>606</v>
      </c>
      <c r="C54" s="160" t="s">
        <v>607</v>
      </c>
      <c r="D54" s="159" t="s">
        <v>602</v>
      </c>
      <c r="E54" s="159" t="s">
        <v>593</v>
      </c>
    </row>
    <row r="55" spans="1:5" ht="105">
      <c r="A55" t="s">
        <v>544</v>
      </c>
      <c r="B55" s="160" t="s">
        <v>606</v>
      </c>
      <c r="C55" s="160" t="s">
        <v>607</v>
      </c>
      <c r="D55" s="159" t="s">
        <v>602</v>
      </c>
      <c r="E55" s="159" t="s">
        <v>593</v>
      </c>
    </row>
    <row r="56" spans="1:5" ht="105">
      <c r="A56" t="s">
        <v>558</v>
      </c>
      <c r="B56" s="160" t="s">
        <v>606</v>
      </c>
      <c r="C56" s="160" t="s">
        <v>607</v>
      </c>
      <c r="D56" s="159" t="s">
        <v>602</v>
      </c>
      <c r="E56" s="159" t="s">
        <v>593</v>
      </c>
    </row>
    <row r="57" spans="1:5" ht="105">
      <c r="A57" t="s">
        <v>550</v>
      </c>
      <c r="B57" s="160" t="s">
        <v>606</v>
      </c>
      <c r="C57" s="160" t="s">
        <v>607</v>
      </c>
      <c r="D57" s="159" t="s">
        <v>602</v>
      </c>
      <c r="E57" s="159" t="s">
        <v>593</v>
      </c>
    </row>
    <row r="58" spans="1:5" ht="105">
      <c r="A58" t="s">
        <v>564</v>
      </c>
      <c r="B58" s="160" t="s">
        <v>606</v>
      </c>
      <c r="C58" s="160" t="s">
        <v>607</v>
      </c>
      <c r="D58" s="159" t="s">
        <v>602</v>
      </c>
      <c r="E58" s="159" t="s">
        <v>593</v>
      </c>
    </row>
    <row r="59" spans="1:5" ht="105">
      <c r="A59" t="s">
        <v>559</v>
      </c>
      <c r="B59" s="160" t="s">
        <v>606</v>
      </c>
      <c r="C59" s="160" t="s">
        <v>607</v>
      </c>
      <c r="D59" s="159" t="s">
        <v>602</v>
      </c>
      <c r="E59" s="159" t="s">
        <v>593</v>
      </c>
    </row>
    <row r="60" spans="1:5" ht="105">
      <c r="A60" t="s">
        <v>554</v>
      </c>
      <c r="B60" s="160" t="s">
        <v>606</v>
      </c>
      <c r="C60" s="160" t="s">
        <v>607</v>
      </c>
      <c r="D60" s="159" t="s">
        <v>602</v>
      </c>
      <c r="E60" s="159" t="s">
        <v>593</v>
      </c>
    </row>
    <row r="61" spans="1:5" ht="105">
      <c r="A61" t="s">
        <v>562</v>
      </c>
      <c r="B61" s="160" t="s">
        <v>606</v>
      </c>
      <c r="C61" s="160" t="s">
        <v>607</v>
      </c>
      <c r="D61" s="159" t="s">
        <v>602</v>
      </c>
      <c r="E61" s="159" t="s">
        <v>593</v>
      </c>
    </row>
    <row r="62" spans="1:5" ht="105">
      <c r="A62" t="s">
        <v>565</v>
      </c>
      <c r="B62" s="160" t="s">
        <v>606</v>
      </c>
      <c r="C62" s="160" t="s">
        <v>607</v>
      </c>
      <c r="D62" s="159" t="s">
        <v>602</v>
      </c>
      <c r="E62" s="159" t="s">
        <v>593</v>
      </c>
    </row>
    <row r="63" spans="1:5" ht="105">
      <c r="A63" t="s">
        <v>580</v>
      </c>
      <c r="B63" s="160" t="s">
        <v>606</v>
      </c>
      <c r="C63" s="160" t="s">
        <v>607</v>
      </c>
      <c r="D63" s="159" t="s">
        <v>602</v>
      </c>
      <c r="E63" s="159" t="s">
        <v>593</v>
      </c>
    </row>
    <row r="64" spans="1:5" ht="105">
      <c r="A64" t="s">
        <v>568</v>
      </c>
      <c r="B64" s="160" t="s">
        <v>606</v>
      </c>
      <c r="C64" s="160" t="s">
        <v>607</v>
      </c>
      <c r="D64" s="159" t="s">
        <v>602</v>
      </c>
      <c r="E64" s="159" t="s">
        <v>593</v>
      </c>
    </row>
    <row r="65" spans="1:5" ht="105">
      <c r="A65" t="s">
        <v>549</v>
      </c>
      <c r="B65" s="160" t="s">
        <v>606</v>
      </c>
      <c r="C65" s="160" t="s">
        <v>607</v>
      </c>
      <c r="D65" s="159" t="s">
        <v>602</v>
      </c>
      <c r="E65" s="159" t="s">
        <v>593</v>
      </c>
    </row>
    <row r="66" spans="1:5" ht="105">
      <c r="A66" t="s">
        <v>541</v>
      </c>
      <c r="B66" s="160" t="s">
        <v>606</v>
      </c>
      <c r="C66" s="160" t="s">
        <v>607</v>
      </c>
      <c r="D66" s="159" t="s">
        <v>602</v>
      </c>
      <c r="E66" s="159" t="s">
        <v>593</v>
      </c>
    </row>
    <row r="67" spans="1:5" ht="105">
      <c r="A67" t="s">
        <v>548</v>
      </c>
      <c r="B67" s="160" t="s">
        <v>606</v>
      </c>
      <c r="C67" s="160" t="s">
        <v>607</v>
      </c>
      <c r="D67" s="207" t="s">
        <v>602</v>
      </c>
      <c r="E67" s="159" t="s">
        <v>593</v>
      </c>
    </row>
    <row r="68" spans="1:5" ht="105">
      <c r="A68" t="s">
        <v>560</v>
      </c>
      <c r="B68" s="160" t="s">
        <v>606</v>
      </c>
      <c r="C68" s="160" t="s">
        <v>607</v>
      </c>
      <c r="D68" s="159" t="s">
        <v>602</v>
      </c>
      <c r="E68" s="159" t="s">
        <v>593</v>
      </c>
    </row>
    <row r="69" spans="1:5" ht="105">
      <c r="A69" t="s">
        <v>567</v>
      </c>
      <c r="B69" s="160" t="s">
        <v>606</v>
      </c>
      <c r="C69" s="160" t="s">
        <v>607</v>
      </c>
      <c r="D69" s="159" t="s">
        <v>602</v>
      </c>
      <c r="E69" s="159" t="s">
        <v>593</v>
      </c>
    </row>
    <row r="70" spans="1:5" ht="105">
      <c r="A70" t="s">
        <v>547</v>
      </c>
      <c r="B70" s="160" t="s">
        <v>606</v>
      </c>
      <c r="C70" s="160" t="s">
        <v>607</v>
      </c>
      <c r="D70" s="159" t="s">
        <v>602</v>
      </c>
      <c r="E70" s="159" t="s">
        <v>593</v>
      </c>
    </row>
    <row r="71" spans="1:5" ht="105">
      <c r="A71" t="s">
        <v>576</v>
      </c>
      <c r="B71" s="160" t="s">
        <v>606</v>
      </c>
      <c r="C71" s="160" t="s">
        <v>607</v>
      </c>
      <c r="D71" s="159" t="s">
        <v>602</v>
      </c>
      <c r="E71" s="159" t="s">
        <v>593</v>
      </c>
    </row>
    <row r="72" spans="1:5" ht="105">
      <c r="A72" t="s">
        <v>582</v>
      </c>
      <c r="B72" s="160" t="s">
        <v>606</v>
      </c>
      <c r="C72" s="160" t="s">
        <v>607</v>
      </c>
      <c r="D72" s="159" t="s">
        <v>602</v>
      </c>
      <c r="E72" s="159" t="s">
        <v>593</v>
      </c>
    </row>
    <row r="73" spans="1:5" ht="105">
      <c r="A73" t="s">
        <v>581</v>
      </c>
      <c r="B73" s="160" t="s">
        <v>606</v>
      </c>
      <c r="C73" s="160" t="s">
        <v>607</v>
      </c>
      <c r="D73" s="159" t="s">
        <v>602</v>
      </c>
      <c r="E73" s="159" t="s">
        <v>593</v>
      </c>
    </row>
    <row r="74" spans="1:5" ht="105">
      <c r="A74" t="s">
        <v>585</v>
      </c>
      <c r="B74" s="160" t="s">
        <v>606</v>
      </c>
      <c r="C74" s="160" t="s">
        <v>607</v>
      </c>
      <c r="D74" s="159" t="s">
        <v>602</v>
      </c>
      <c r="E74" s="159" t="s">
        <v>593</v>
      </c>
    </row>
    <row r="75" spans="1:5" ht="105">
      <c r="A75" t="s">
        <v>583</v>
      </c>
      <c r="B75" s="160" t="s">
        <v>606</v>
      </c>
      <c r="C75" s="160" t="s">
        <v>607</v>
      </c>
      <c r="D75" s="159" t="s">
        <v>602</v>
      </c>
      <c r="E75" s="159" t="s">
        <v>593</v>
      </c>
    </row>
    <row r="76" spans="1:5" ht="105">
      <c r="A76" t="s">
        <v>584</v>
      </c>
      <c r="B76" s="160" t="s">
        <v>606</v>
      </c>
      <c r="C76" s="160" t="s">
        <v>607</v>
      </c>
      <c r="D76" s="159" t="s">
        <v>602</v>
      </c>
      <c r="E76" s="159" t="s">
        <v>593</v>
      </c>
    </row>
    <row r="77" spans="1:5" ht="105">
      <c r="A77" t="s">
        <v>543</v>
      </c>
      <c r="B77" s="160" t="s">
        <v>606</v>
      </c>
      <c r="C77" s="160" t="s">
        <v>607</v>
      </c>
      <c r="D77" s="159" t="s">
        <v>602</v>
      </c>
      <c r="E77" s="159" t="s">
        <v>593</v>
      </c>
    </row>
  </sheetData>
  <hyperlinks>
    <hyperlink ref="D67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5"/>
  <dimension ref="A1:E77"/>
  <sheetViews>
    <sheetView topLeftCell="A32" workbookViewId="0">
      <selection activeCell="D35" sqref="D35"/>
    </sheetView>
  </sheetViews>
  <sheetFormatPr defaultColWidth="8.85546875" defaultRowHeight="15"/>
  <cols>
    <col min="1" max="1" width="20.5703125" style="159" bestFit="1" customWidth="1"/>
    <col min="2" max="2" width="16.85546875" style="159" bestFit="1" customWidth="1"/>
    <col min="3" max="3" width="39.7109375" style="159" customWidth="1"/>
    <col min="4" max="4" width="62.7109375" style="159" bestFit="1" customWidth="1"/>
    <col min="5" max="5" width="9.42578125" style="159" bestFit="1" customWidth="1"/>
    <col min="6" max="16384" width="8.85546875" style="159"/>
  </cols>
  <sheetData>
    <row r="1" spans="1:5">
      <c r="A1" s="159" t="s">
        <v>591</v>
      </c>
      <c r="B1" s="159" t="s">
        <v>595</v>
      </c>
      <c r="C1" s="159" t="s">
        <v>594</v>
      </c>
      <c r="D1" s="159" t="s">
        <v>258</v>
      </c>
      <c r="E1" s="159" t="s">
        <v>592</v>
      </c>
    </row>
    <row r="2" spans="1:5" ht="105">
      <c r="A2" t="s">
        <v>563</v>
      </c>
      <c r="B2" s="160" t="s">
        <v>605</v>
      </c>
      <c r="C2" s="160" t="s">
        <v>596</v>
      </c>
      <c r="D2" s="159" t="s">
        <v>603</v>
      </c>
      <c r="E2" s="159" t="s">
        <v>599</v>
      </c>
    </row>
    <row r="3" spans="1:5" ht="105">
      <c r="A3" t="s">
        <v>575</v>
      </c>
      <c r="B3" s="160" t="s">
        <v>605</v>
      </c>
      <c r="C3" s="160" t="s">
        <v>546</v>
      </c>
      <c r="D3" s="207" t="s">
        <v>603</v>
      </c>
      <c r="E3" s="159" t="s">
        <v>599</v>
      </c>
    </row>
    <row r="4" spans="1:5" ht="105">
      <c r="A4" t="s">
        <v>572</v>
      </c>
      <c r="B4" s="160" t="s">
        <v>605</v>
      </c>
      <c r="C4" s="160" t="s">
        <v>546</v>
      </c>
      <c r="D4" s="159" t="s">
        <v>603</v>
      </c>
      <c r="E4" s="159" t="s">
        <v>599</v>
      </c>
    </row>
    <row r="5" spans="1:5" ht="105">
      <c r="A5" t="s">
        <v>570</v>
      </c>
      <c r="B5" s="160" t="s">
        <v>605</v>
      </c>
      <c r="C5" s="160" t="s">
        <v>546</v>
      </c>
      <c r="D5" s="159" t="s">
        <v>603</v>
      </c>
      <c r="E5" s="159" t="s">
        <v>599</v>
      </c>
    </row>
    <row r="6" spans="1:5" ht="105">
      <c r="A6" t="s">
        <v>557</v>
      </c>
      <c r="B6" s="160" t="s">
        <v>605</v>
      </c>
      <c r="C6" s="160" t="s">
        <v>546</v>
      </c>
      <c r="D6" s="159" t="s">
        <v>603</v>
      </c>
      <c r="E6" s="159" t="s">
        <v>599</v>
      </c>
    </row>
    <row r="7" spans="1:5" ht="105">
      <c r="A7" t="s">
        <v>561</v>
      </c>
      <c r="B7" s="160" t="s">
        <v>605</v>
      </c>
      <c r="C7" s="160" t="s">
        <v>546</v>
      </c>
      <c r="D7" s="159" t="s">
        <v>603</v>
      </c>
      <c r="E7" s="159" t="s">
        <v>599</v>
      </c>
    </row>
    <row r="8" spans="1:5" ht="105">
      <c r="A8" t="s">
        <v>553</v>
      </c>
      <c r="B8" s="160" t="s">
        <v>605</v>
      </c>
      <c r="C8" s="160" t="s">
        <v>546</v>
      </c>
      <c r="D8" s="159" t="s">
        <v>603</v>
      </c>
      <c r="E8" s="159" t="s">
        <v>599</v>
      </c>
    </row>
    <row r="9" spans="1:5" ht="105">
      <c r="A9" t="s">
        <v>571</v>
      </c>
      <c r="B9" s="160" t="s">
        <v>605</v>
      </c>
      <c r="C9" s="160" t="s">
        <v>546</v>
      </c>
      <c r="D9" s="159" t="s">
        <v>603</v>
      </c>
      <c r="E9" s="159" t="s">
        <v>599</v>
      </c>
    </row>
    <row r="10" spans="1:5" ht="105">
      <c r="A10" t="s">
        <v>587</v>
      </c>
      <c r="B10" s="160" t="s">
        <v>605</v>
      </c>
      <c r="C10" s="160" t="s">
        <v>546</v>
      </c>
      <c r="D10" s="159" t="s">
        <v>603</v>
      </c>
      <c r="E10" s="159" t="s">
        <v>599</v>
      </c>
    </row>
    <row r="11" spans="1:5" ht="105">
      <c r="A11" t="s">
        <v>586</v>
      </c>
      <c r="B11" s="160" t="s">
        <v>605</v>
      </c>
      <c r="C11" s="160" t="s">
        <v>546</v>
      </c>
      <c r="D11" s="159" t="s">
        <v>603</v>
      </c>
      <c r="E11" s="159" t="s">
        <v>599</v>
      </c>
    </row>
    <row r="12" spans="1:5" ht="105">
      <c r="A12" t="s">
        <v>590</v>
      </c>
      <c r="B12" s="160" t="s">
        <v>605</v>
      </c>
      <c r="C12" s="160" t="s">
        <v>546</v>
      </c>
      <c r="D12" s="159" t="s">
        <v>603</v>
      </c>
      <c r="E12" s="159" t="s">
        <v>599</v>
      </c>
    </row>
    <row r="13" spans="1:5" ht="105">
      <c r="A13" t="s">
        <v>588</v>
      </c>
      <c r="B13" s="160" t="s">
        <v>605</v>
      </c>
      <c r="C13" s="160" t="s">
        <v>546</v>
      </c>
      <c r="D13" s="159" t="s">
        <v>603</v>
      </c>
      <c r="E13" s="159" t="s">
        <v>599</v>
      </c>
    </row>
    <row r="14" spans="1:5" ht="105">
      <c r="A14" t="s">
        <v>589</v>
      </c>
      <c r="B14" s="160" t="s">
        <v>605</v>
      </c>
      <c r="C14" s="160" t="s">
        <v>546</v>
      </c>
      <c r="D14" s="159" t="s">
        <v>603</v>
      </c>
      <c r="E14" s="159" t="s">
        <v>599</v>
      </c>
    </row>
    <row r="15" spans="1:5" ht="105">
      <c r="A15" t="s">
        <v>574</v>
      </c>
      <c r="B15" s="160" t="s">
        <v>605</v>
      </c>
      <c r="C15" s="160" t="s">
        <v>546</v>
      </c>
      <c r="D15" s="159" t="s">
        <v>603</v>
      </c>
      <c r="E15" s="159" t="s">
        <v>599</v>
      </c>
    </row>
    <row r="16" spans="1:5" ht="105">
      <c r="A16" t="s">
        <v>573</v>
      </c>
      <c r="B16" s="160" t="s">
        <v>605</v>
      </c>
      <c r="C16" s="160" t="s">
        <v>546</v>
      </c>
      <c r="D16" s="159" t="s">
        <v>603</v>
      </c>
      <c r="E16" s="159" t="s">
        <v>599</v>
      </c>
    </row>
    <row r="17" spans="1:5" ht="105">
      <c r="A17" t="s">
        <v>577</v>
      </c>
      <c r="B17" s="160" t="s">
        <v>605</v>
      </c>
      <c r="C17" s="160" t="s">
        <v>546</v>
      </c>
      <c r="D17" s="159" t="s">
        <v>603</v>
      </c>
      <c r="E17" s="159" t="s">
        <v>599</v>
      </c>
    </row>
    <row r="18" spans="1:5" ht="105">
      <c r="A18" t="s">
        <v>566</v>
      </c>
      <c r="B18" s="160" t="s">
        <v>605</v>
      </c>
      <c r="C18" s="160" t="s">
        <v>546</v>
      </c>
      <c r="D18" s="159" t="s">
        <v>603</v>
      </c>
      <c r="E18" s="159" t="s">
        <v>599</v>
      </c>
    </row>
    <row r="19" spans="1:5" ht="135">
      <c r="A19" t="s">
        <v>555</v>
      </c>
      <c r="B19" s="160" t="s">
        <v>608</v>
      </c>
      <c r="C19" s="160" t="s">
        <v>546</v>
      </c>
      <c r="D19" s="159" t="s">
        <v>603</v>
      </c>
      <c r="E19" s="159" t="s">
        <v>599</v>
      </c>
    </row>
    <row r="20" spans="1:5" ht="135">
      <c r="A20" t="s">
        <v>552</v>
      </c>
      <c r="B20" s="160" t="s">
        <v>608</v>
      </c>
      <c r="C20" s="160" t="s">
        <v>546</v>
      </c>
      <c r="D20" s="159" t="s">
        <v>603</v>
      </c>
      <c r="E20" s="159" t="s">
        <v>599</v>
      </c>
    </row>
    <row r="21" spans="1:5" ht="135">
      <c r="A21" t="s">
        <v>542</v>
      </c>
      <c r="B21" s="160" t="s">
        <v>608</v>
      </c>
      <c r="C21" s="160" t="s">
        <v>546</v>
      </c>
      <c r="D21" s="159" t="s">
        <v>603</v>
      </c>
      <c r="E21" s="159" t="s">
        <v>599</v>
      </c>
    </row>
    <row r="22" spans="1:5" ht="135">
      <c r="A22" t="s">
        <v>475</v>
      </c>
      <c r="B22" s="160" t="s">
        <v>608</v>
      </c>
      <c r="C22" s="160" t="s">
        <v>546</v>
      </c>
      <c r="D22" s="159" t="s">
        <v>603</v>
      </c>
      <c r="E22" s="159" t="s">
        <v>599</v>
      </c>
    </row>
    <row r="23" spans="1:5" ht="135">
      <c r="A23" t="s">
        <v>539</v>
      </c>
      <c r="B23" s="160" t="s">
        <v>608</v>
      </c>
      <c r="C23" s="160" t="s">
        <v>546</v>
      </c>
      <c r="D23" s="159" t="s">
        <v>603</v>
      </c>
      <c r="E23" s="159" t="s">
        <v>599</v>
      </c>
    </row>
    <row r="24" spans="1:5" ht="135">
      <c r="A24" s="23" t="s">
        <v>154</v>
      </c>
      <c r="B24" s="160" t="s">
        <v>608</v>
      </c>
      <c r="C24" s="160" t="s">
        <v>546</v>
      </c>
      <c r="D24" s="159" t="s">
        <v>603</v>
      </c>
      <c r="E24" s="159" t="s">
        <v>599</v>
      </c>
    </row>
    <row r="25" spans="1:5" ht="135">
      <c r="A25" s="23" t="s">
        <v>221</v>
      </c>
      <c r="B25" s="160" t="s">
        <v>608</v>
      </c>
      <c r="C25" s="160" t="s">
        <v>546</v>
      </c>
      <c r="D25" s="159" t="s">
        <v>603</v>
      </c>
      <c r="E25" s="159" t="s">
        <v>599</v>
      </c>
    </row>
    <row r="26" spans="1:5" ht="135">
      <c r="A26" s="23" t="s">
        <v>224</v>
      </c>
      <c r="B26" s="160" t="s">
        <v>608</v>
      </c>
      <c r="C26" s="160" t="s">
        <v>546</v>
      </c>
      <c r="D26" s="159" t="s">
        <v>603</v>
      </c>
      <c r="E26" s="159" t="s">
        <v>599</v>
      </c>
    </row>
    <row r="27" spans="1:5" ht="135">
      <c r="A27" s="23" t="s">
        <v>223</v>
      </c>
      <c r="B27" s="160" t="s">
        <v>608</v>
      </c>
      <c r="C27" s="160" t="s">
        <v>546</v>
      </c>
      <c r="D27" s="159" t="s">
        <v>603</v>
      </c>
      <c r="E27" s="159" t="s">
        <v>599</v>
      </c>
    </row>
    <row r="28" spans="1:5" ht="135">
      <c r="A28" s="23" t="s">
        <v>222</v>
      </c>
      <c r="B28" s="160" t="s">
        <v>608</v>
      </c>
      <c r="C28" s="160" t="s">
        <v>546</v>
      </c>
      <c r="D28" s="159" t="s">
        <v>603</v>
      </c>
      <c r="E28" s="159" t="s">
        <v>599</v>
      </c>
    </row>
    <row r="29" spans="1:5" ht="135">
      <c r="A29" s="23" t="s">
        <v>232</v>
      </c>
      <c r="B29" s="160" t="s">
        <v>608</v>
      </c>
      <c r="C29" s="160" t="s">
        <v>546</v>
      </c>
      <c r="D29" s="159" t="s">
        <v>603</v>
      </c>
      <c r="E29" s="159" t="s">
        <v>599</v>
      </c>
    </row>
    <row r="30" spans="1:5" ht="135">
      <c r="A30" s="23" t="s">
        <v>231</v>
      </c>
      <c r="B30" s="160" t="s">
        <v>608</v>
      </c>
      <c r="C30" s="160" t="s">
        <v>546</v>
      </c>
      <c r="D30" s="159" t="s">
        <v>603</v>
      </c>
      <c r="E30" s="159" t="s">
        <v>599</v>
      </c>
    </row>
    <row r="31" spans="1:5" ht="135">
      <c r="A31" s="23" t="s">
        <v>230</v>
      </c>
      <c r="B31" s="160" t="s">
        <v>608</v>
      </c>
      <c r="C31" s="160" t="s">
        <v>546</v>
      </c>
      <c r="D31" s="159" t="s">
        <v>603</v>
      </c>
      <c r="E31" s="159" t="s">
        <v>599</v>
      </c>
    </row>
    <row r="32" spans="1:5" ht="135">
      <c r="A32" s="23" t="s">
        <v>229</v>
      </c>
      <c r="B32" s="160" t="s">
        <v>608</v>
      </c>
      <c r="C32" s="160" t="s">
        <v>546</v>
      </c>
      <c r="D32" s="159" t="s">
        <v>603</v>
      </c>
      <c r="E32" s="159" t="s">
        <v>599</v>
      </c>
    </row>
    <row r="33" spans="1:5" ht="135">
      <c r="A33" s="23" t="s">
        <v>395</v>
      </c>
      <c r="B33" s="160" t="s">
        <v>608</v>
      </c>
      <c r="C33" s="160" t="s">
        <v>546</v>
      </c>
      <c r="D33" s="159" t="s">
        <v>603</v>
      </c>
      <c r="E33" s="159" t="s">
        <v>599</v>
      </c>
    </row>
    <row r="34" spans="1:5" ht="135">
      <c r="A34" s="23" t="s">
        <v>228</v>
      </c>
      <c r="B34" s="160" t="s">
        <v>608</v>
      </c>
      <c r="C34" s="160" t="s">
        <v>546</v>
      </c>
      <c r="D34" s="207" t="s">
        <v>603</v>
      </c>
      <c r="E34" s="159" t="s">
        <v>599</v>
      </c>
    </row>
    <row r="35" spans="1:5" ht="135">
      <c r="A35" s="23" t="s">
        <v>227</v>
      </c>
      <c r="B35" s="160" t="s">
        <v>608</v>
      </c>
      <c r="C35" s="160" t="s">
        <v>546</v>
      </c>
      <c r="D35" s="159" t="s">
        <v>603</v>
      </c>
      <c r="E35" s="159" t="s">
        <v>599</v>
      </c>
    </row>
    <row r="36" spans="1:5" ht="135">
      <c r="A36" s="23" t="s">
        <v>226</v>
      </c>
      <c r="B36" s="160" t="s">
        <v>608</v>
      </c>
      <c r="C36" s="160" t="s">
        <v>546</v>
      </c>
      <c r="D36" s="159" t="s">
        <v>603</v>
      </c>
      <c r="E36" s="159" t="s">
        <v>599</v>
      </c>
    </row>
    <row r="37" spans="1:5" ht="135">
      <c r="A37" s="23" t="s">
        <v>225</v>
      </c>
      <c r="B37" s="160" t="s">
        <v>608</v>
      </c>
      <c r="C37" s="160" t="s">
        <v>546</v>
      </c>
      <c r="D37" s="159" t="s">
        <v>603</v>
      </c>
      <c r="E37" s="159" t="s">
        <v>599</v>
      </c>
    </row>
    <row r="38" spans="1:5" ht="135">
      <c r="A38" s="23" t="s">
        <v>211</v>
      </c>
      <c r="B38" s="160" t="s">
        <v>608</v>
      </c>
      <c r="C38" s="160" t="s">
        <v>546</v>
      </c>
      <c r="D38" s="159" t="s">
        <v>603</v>
      </c>
      <c r="E38" s="159" t="s">
        <v>599</v>
      </c>
    </row>
    <row r="39" spans="1:5" ht="135">
      <c r="A39" s="23" t="s">
        <v>220</v>
      </c>
      <c r="B39" s="160" t="s">
        <v>608</v>
      </c>
      <c r="C39" s="160" t="s">
        <v>546</v>
      </c>
      <c r="D39" s="159" t="s">
        <v>603</v>
      </c>
      <c r="E39" s="159" t="s">
        <v>599</v>
      </c>
    </row>
    <row r="40" spans="1:5" ht="135">
      <c r="A40" s="23" t="s">
        <v>210</v>
      </c>
      <c r="B40" s="160" t="s">
        <v>608</v>
      </c>
      <c r="C40" s="160" t="s">
        <v>546</v>
      </c>
      <c r="D40" s="159" t="s">
        <v>603</v>
      </c>
      <c r="E40" s="159" t="s">
        <v>599</v>
      </c>
    </row>
    <row r="41" spans="1:5" ht="135">
      <c r="A41" s="23" t="s">
        <v>209</v>
      </c>
      <c r="B41" s="160" t="s">
        <v>608</v>
      </c>
      <c r="C41" s="160" t="s">
        <v>546</v>
      </c>
      <c r="D41" s="159" t="s">
        <v>603</v>
      </c>
      <c r="E41" s="159" t="s">
        <v>599</v>
      </c>
    </row>
    <row r="42" spans="1:5" ht="135">
      <c r="A42" s="23" t="s">
        <v>212</v>
      </c>
      <c r="B42" s="160" t="s">
        <v>608</v>
      </c>
      <c r="C42" s="160" t="s">
        <v>546</v>
      </c>
      <c r="D42" s="159" t="s">
        <v>603</v>
      </c>
      <c r="E42" s="159" t="s">
        <v>599</v>
      </c>
    </row>
    <row r="43" spans="1:5" ht="135">
      <c r="A43" s="23" t="s">
        <v>213</v>
      </c>
      <c r="B43" s="160" t="s">
        <v>608</v>
      </c>
      <c r="C43" s="160" t="s">
        <v>546</v>
      </c>
      <c r="D43" s="159" t="s">
        <v>603</v>
      </c>
      <c r="E43" s="159" t="s">
        <v>599</v>
      </c>
    </row>
    <row r="44" spans="1:5" ht="135">
      <c r="A44" s="23" t="s">
        <v>214</v>
      </c>
      <c r="B44" s="160" t="s">
        <v>608</v>
      </c>
      <c r="C44" s="160" t="s">
        <v>546</v>
      </c>
      <c r="D44" s="159" t="s">
        <v>603</v>
      </c>
      <c r="E44" s="159" t="s">
        <v>599</v>
      </c>
    </row>
    <row r="45" spans="1:5" ht="135">
      <c r="A45" s="23" t="s">
        <v>215</v>
      </c>
      <c r="B45" s="160" t="s">
        <v>608</v>
      </c>
      <c r="C45" s="160" t="s">
        <v>546</v>
      </c>
      <c r="D45" s="159" t="s">
        <v>603</v>
      </c>
      <c r="E45" s="159" t="s">
        <v>599</v>
      </c>
    </row>
    <row r="46" spans="1:5" ht="135">
      <c r="A46" s="23" t="s">
        <v>396</v>
      </c>
      <c r="B46" s="160" t="s">
        <v>608</v>
      </c>
      <c r="C46" s="160" t="s">
        <v>546</v>
      </c>
      <c r="D46" s="159" t="s">
        <v>603</v>
      </c>
      <c r="E46" s="159" t="s">
        <v>599</v>
      </c>
    </row>
    <row r="47" spans="1:5" ht="135">
      <c r="A47" s="23" t="s">
        <v>216</v>
      </c>
      <c r="B47" s="160" t="s">
        <v>608</v>
      </c>
      <c r="C47" s="160" t="s">
        <v>546</v>
      </c>
      <c r="D47" s="159" t="s">
        <v>603</v>
      </c>
      <c r="E47" s="159" t="s">
        <v>599</v>
      </c>
    </row>
    <row r="48" spans="1:5" ht="135">
      <c r="A48" s="23" t="s">
        <v>217</v>
      </c>
      <c r="B48" s="160" t="s">
        <v>608</v>
      </c>
      <c r="C48" s="160" t="s">
        <v>546</v>
      </c>
      <c r="D48" s="159" t="s">
        <v>603</v>
      </c>
      <c r="E48" s="159" t="s">
        <v>599</v>
      </c>
    </row>
    <row r="49" spans="1:5" ht="135">
      <c r="A49" s="23" t="s">
        <v>218</v>
      </c>
      <c r="B49" s="160" t="s">
        <v>608</v>
      </c>
      <c r="C49" s="160" t="s">
        <v>546</v>
      </c>
      <c r="D49" s="159" t="s">
        <v>603</v>
      </c>
      <c r="E49" s="159" t="s">
        <v>599</v>
      </c>
    </row>
    <row r="50" spans="1:5" ht="135">
      <c r="A50" s="23" t="s">
        <v>219</v>
      </c>
      <c r="B50" s="160" t="s">
        <v>608</v>
      </c>
      <c r="C50" s="160" t="s">
        <v>546</v>
      </c>
      <c r="D50" s="159" t="s">
        <v>603</v>
      </c>
      <c r="E50" s="159" t="s">
        <v>599</v>
      </c>
    </row>
    <row r="51" spans="1:5" ht="135">
      <c r="A51" t="s">
        <v>551</v>
      </c>
      <c r="B51" s="160" t="s">
        <v>608</v>
      </c>
      <c r="C51" s="160" t="s">
        <v>546</v>
      </c>
      <c r="D51" s="159" t="s">
        <v>603</v>
      </c>
      <c r="E51" s="159" t="s">
        <v>599</v>
      </c>
    </row>
    <row r="52" spans="1:5" ht="135">
      <c r="A52" t="s">
        <v>556</v>
      </c>
      <c r="B52" s="160" t="s">
        <v>608</v>
      </c>
      <c r="C52" s="160" t="s">
        <v>546</v>
      </c>
      <c r="D52" s="159" t="s">
        <v>603</v>
      </c>
      <c r="E52" s="159" t="s">
        <v>599</v>
      </c>
    </row>
    <row r="53" spans="1:5" ht="135">
      <c r="A53" t="s">
        <v>540</v>
      </c>
      <c r="B53" s="160" t="s">
        <v>608</v>
      </c>
      <c r="C53" s="160" t="s">
        <v>546</v>
      </c>
      <c r="D53" s="159" t="s">
        <v>603</v>
      </c>
      <c r="E53" s="159" t="s">
        <v>599</v>
      </c>
    </row>
    <row r="54" spans="1:5" ht="135">
      <c r="A54" t="s">
        <v>578</v>
      </c>
      <c r="B54" s="160" t="s">
        <v>608</v>
      </c>
      <c r="C54" s="160" t="s">
        <v>546</v>
      </c>
      <c r="D54" s="159" t="s">
        <v>603</v>
      </c>
      <c r="E54" s="159" t="s">
        <v>599</v>
      </c>
    </row>
    <row r="55" spans="1:5" ht="135">
      <c r="A55" t="s">
        <v>544</v>
      </c>
      <c r="B55" s="160" t="s">
        <v>608</v>
      </c>
      <c r="C55" s="160" t="s">
        <v>546</v>
      </c>
      <c r="D55" s="159" t="s">
        <v>603</v>
      </c>
      <c r="E55" s="159" t="s">
        <v>599</v>
      </c>
    </row>
    <row r="56" spans="1:5" ht="135">
      <c r="A56" t="s">
        <v>558</v>
      </c>
      <c r="B56" s="160" t="s">
        <v>608</v>
      </c>
      <c r="C56" s="160" t="s">
        <v>546</v>
      </c>
      <c r="D56" s="159" t="s">
        <v>603</v>
      </c>
      <c r="E56" s="159" t="s">
        <v>599</v>
      </c>
    </row>
    <row r="57" spans="1:5" ht="135">
      <c r="A57" t="s">
        <v>550</v>
      </c>
      <c r="B57" s="160" t="s">
        <v>608</v>
      </c>
      <c r="C57" s="160" t="s">
        <v>546</v>
      </c>
      <c r="D57" s="159" t="s">
        <v>603</v>
      </c>
      <c r="E57" s="159" t="s">
        <v>599</v>
      </c>
    </row>
    <row r="58" spans="1:5" ht="135">
      <c r="A58" t="s">
        <v>564</v>
      </c>
      <c r="B58" s="160" t="s">
        <v>608</v>
      </c>
      <c r="C58" s="160" t="s">
        <v>546</v>
      </c>
      <c r="D58" s="159" t="s">
        <v>603</v>
      </c>
      <c r="E58" s="159" t="s">
        <v>599</v>
      </c>
    </row>
    <row r="59" spans="1:5" ht="135">
      <c r="A59" t="s">
        <v>559</v>
      </c>
      <c r="B59" s="160" t="s">
        <v>608</v>
      </c>
      <c r="C59" s="160" t="s">
        <v>546</v>
      </c>
      <c r="D59" s="159" t="s">
        <v>603</v>
      </c>
      <c r="E59" s="159" t="s">
        <v>599</v>
      </c>
    </row>
    <row r="60" spans="1:5" ht="135">
      <c r="A60" t="s">
        <v>554</v>
      </c>
      <c r="B60" s="160" t="s">
        <v>608</v>
      </c>
      <c r="C60" s="160" t="s">
        <v>546</v>
      </c>
      <c r="D60" s="159" t="s">
        <v>603</v>
      </c>
      <c r="E60" s="159" t="s">
        <v>599</v>
      </c>
    </row>
    <row r="61" spans="1:5" ht="135">
      <c r="A61" t="s">
        <v>562</v>
      </c>
      <c r="B61" s="160" t="s">
        <v>608</v>
      </c>
      <c r="C61" s="160" t="s">
        <v>546</v>
      </c>
      <c r="D61" s="159" t="s">
        <v>603</v>
      </c>
      <c r="E61" s="159" t="s">
        <v>599</v>
      </c>
    </row>
    <row r="62" spans="1:5" ht="135">
      <c r="A62" t="s">
        <v>565</v>
      </c>
      <c r="B62" s="160" t="s">
        <v>608</v>
      </c>
      <c r="C62" s="160" t="s">
        <v>546</v>
      </c>
      <c r="D62" s="159" t="s">
        <v>603</v>
      </c>
      <c r="E62" s="159" t="s">
        <v>599</v>
      </c>
    </row>
    <row r="63" spans="1:5" ht="135">
      <c r="A63" t="s">
        <v>580</v>
      </c>
      <c r="B63" s="160" t="s">
        <v>608</v>
      </c>
      <c r="C63" s="160" t="s">
        <v>546</v>
      </c>
      <c r="D63" s="159" t="s">
        <v>603</v>
      </c>
      <c r="E63" s="159" t="s">
        <v>599</v>
      </c>
    </row>
    <row r="64" spans="1:5" ht="135">
      <c r="A64" t="s">
        <v>568</v>
      </c>
      <c r="B64" s="160" t="s">
        <v>608</v>
      </c>
      <c r="C64" s="160" t="s">
        <v>546</v>
      </c>
      <c r="D64" s="159" t="s">
        <v>603</v>
      </c>
      <c r="E64" s="159" t="s">
        <v>599</v>
      </c>
    </row>
    <row r="65" spans="1:5" ht="135">
      <c r="A65" t="s">
        <v>549</v>
      </c>
      <c r="B65" s="160" t="s">
        <v>608</v>
      </c>
      <c r="C65" s="160" t="s">
        <v>546</v>
      </c>
      <c r="D65" s="159" t="s">
        <v>603</v>
      </c>
      <c r="E65" s="159" t="s">
        <v>599</v>
      </c>
    </row>
    <row r="66" spans="1:5" ht="135">
      <c r="A66" t="s">
        <v>541</v>
      </c>
      <c r="B66" s="160" t="s">
        <v>608</v>
      </c>
      <c r="C66" s="160" t="s">
        <v>546</v>
      </c>
      <c r="D66" s="159" t="s">
        <v>603</v>
      </c>
      <c r="E66" s="159" t="s">
        <v>599</v>
      </c>
    </row>
    <row r="67" spans="1:5" ht="135">
      <c r="A67" t="s">
        <v>548</v>
      </c>
      <c r="B67" s="160" t="s">
        <v>608</v>
      </c>
      <c r="C67" s="160" t="s">
        <v>546</v>
      </c>
      <c r="D67" s="159" t="s">
        <v>603</v>
      </c>
      <c r="E67" s="159" t="s">
        <v>599</v>
      </c>
    </row>
    <row r="68" spans="1:5" ht="135">
      <c r="A68" t="s">
        <v>560</v>
      </c>
      <c r="B68" s="160" t="s">
        <v>608</v>
      </c>
      <c r="C68" s="160" t="s">
        <v>546</v>
      </c>
      <c r="D68" s="159" t="s">
        <v>603</v>
      </c>
      <c r="E68" s="159" t="s">
        <v>599</v>
      </c>
    </row>
    <row r="69" spans="1:5" ht="135">
      <c r="A69" t="s">
        <v>567</v>
      </c>
      <c r="B69" s="160" t="s">
        <v>608</v>
      </c>
      <c r="C69" s="160" t="s">
        <v>546</v>
      </c>
      <c r="D69" s="159" t="s">
        <v>603</v>
      </c>
      <c r="E69" s="159" t="s">
        <v>599</v>
      </c>
    </row>
    <row r="70" spans="1:5" ht="135">
      <c r="A70" t="s">
        <v>547</v>
      </c>
      <c r="B70" s="160" t="s">
        <v>608</v>
      </c>
      <c r="C70" s="160" t="s">
        <v>546</v>
      </c>
      <c r="D70" s="159" t="s">
        <v>603</v>
      </c>
      <c r="E70" s="159" t="s">
        <v>599</v>
      </c>
    </row>
    <row r="71" spans="1:5" ht="135">
      <c r="A71" t="s">
        <v>576</v>
      </c>
      <c r="B71" s="160" t="s">
        <v>608</v>
      </c>
      <c r="C71" s="160" t="s">
        <v>546</v>
      </c>
      <c r="D71" s="159" t="s">
        <v>603</v>
      </c>
      <c r="E71" s="159" t="s">
        <v>599</v>
      </c>
    </row>
    <row r="72" spans="1:5" ht="135">
      <c r="A72" t="s">
        <v>582</v>
      </c>
      <c r="B72" s="160" t="s">
        <v>608</v>
      </c>
      <c r="C72" s="160" t="s">
        <v>546</v>
      </c>
      <c r="D72" s="159" t="s">
        <v>603</v>
      </c>
      <c r="E72" s="159" t="s">
        <v>599</v>
      </c>
    </row>
    <row r="73" spans="1:5" ht="135">
      <c r="A73" t="s">
        <v>581</v>
      </c>
      <c r="B73" s="160" t="s">
        <v>608</v>
      </c>
      <c r="C73" s="160" t="s">
        <v>546</v>
      </c>
      <c r="D73" s="159" t="s">
        <v>603</v>
      </c>
      <c r="E73" s="159" t="s">
        <v>599</v>
      </c>
    </row>
    <row r="74" spans="1:5" ht="135">
      <c r="A74" t="s">
        <v>585</v>
      </c>
      <c r="B74" s="160" t="s">
        <v>608</v>
      </c>
      <c r="C74" s="160" t="s">
        <v>546</v>
      </c>
      <c r="D74" s="159" t="s">
        <v>603</v>
      </c>
      <c r="E74" s="159" t="s">
        <v>599</v>
      </c>
    </row>
    <row r="75" spans="1:5" ht="135">
      <c r="A75" t="s">
        <v>583</v>
      </c>
      <c r="B75" s="160" t="s">
        <v>608</v>
      </c>
      <c r="C75" s="160" t="s">
        <v>546</v>
      </c>
      <c r="D75" s="159" t="s">
        <v>603</v>
      </c>
      <c r="E75" s="159" t="s">
        <v>599</v>
      </c>
    </row>
    <row r="76" spans="1:5" ht="135">
      <c r="A76" t="s">
        <v>584</v>
      </c>
      <c r="B76" s="160" t="s">
        <v>608</v>
      </c>
      <c r="C76" s="160" t="s">
        <v>546</v>
      </c>
      <c r="D76" s="159" t="s">
        <v>603</v>
      </c>
      <c r="E76" s="159" t="s">
        <v>599</v>
      </c>
    </row>
    <row r="77" spans="1:5" ht="135">
      <c r="A77" t="s">
        <v>543</v>
      </c>
      <c r="B77" s="160" t="s">
        <v>608</v>
      </c>
      <c r="C77" s="160" t="s">
        <v>546</v>
      </c>
      <c r="D77" s="159" t="s">
        <v>603</v>
      </c>
      <c r="E77" s="159" t="s">
        <v>599</v>
      </c>
    </row>
  </sheetData>
  <hyperlinks>
    <hyperlink ref="D3" r:id="rId1"/>
    <hyperlink ref="D34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6"/>
  <dimension ref="A1:E77"/>
  <sheetViews>
    <sheetView topLeftCell="A3" workbookViewId="0">
      <selection activeCell="D5" sqref="D5"/>
    </sheetView>
  </sheetViews>
  <sheetFormatPr defaultColWidth="8.85546875" defaultRowHeight="15"/>
  <cols>
    <col min="1" max="1" width="20.5703125" style="159" bestFit="1" customWidth="1"/>
    <col min="2" max="2" width="16.85546875" style="159" bestFit="1" customWidth="1"/>
    <col min="3" max="3" width="39.7109375" style="159" customWidth="1"/>
    <col min="4" max="4" width="62.7109375" style="159" bestFit="1" customWidth="1"/>
    <col min="5" max="5" width="9.42578125" style="159" bestFit="1" customWidth="1"/>
    <col min="6" max="16384" width="8.85546875" style="159"/>
  </cols>
  <sheetData>
    <row r="1" spans="1:5">
      <c r="A1" s="159" t="s">
        <v>591</v>
      </c>
      <c r="B1" s="159" t="s">
        <v>595</v>
      </c>
      <c r="C1" s="159" t="s">
        <v>594</v>
      </c>
      <c r="D1" s="159" t="s">
        <v>258</v>
      </c>
      <c r="E1" s="159" t="s">
        <v>592</v>
      </c>
    </row>
    <row r="2" spans="1:5" ht="135">
      <c r="A2" t="s">
        <v>563</v>
      </c>
      <c r="B2" s="160" t="s">
        <v>609</v>
      </c>
      <c r="C2" s="160" t="s">
        <v>596</v>
      </c>
      <c r="D2" s="159" t="s">
        <v>597</v>
      </c>
      <c r="E2" s="159" t="s">
        <v>598</v>
      </c>
    </row>
    <row r="3" spans="1:5" ht="135">
      <c r="A3" t="s">
        <v>575</v>
      </c>
      <c r="B3" s="160" t="s">
        <v>609</v>
      </c>
      <c r="C3" s="160" t="s">
        <v>546</v>
      </c>
      <c r="D3" s="159" t="s">
        <v>597</v>
      </c>
      <c r="E3" s="159" t="s">
        <v>598</v>
      </c>
    </row>
    <row r="4" spans="1:5" ht="135">
      <c r="A4" t="s">
        <v>572</v>
      </c>
      <c r="B4" s="160" t="s">
        <v>609</v>
      </c>
      <c r="C4" s="160" t="s">
        <v>546</v>
      </c>
      <c r="D4" s="159" t="s">
        <v>597</v>
      </c>
      <c r="E4" s="159" t="s">
        <v>598</v>
      </c>
    </row>
    <row r="5" spans="1:5" ht="135">
      <c r="A5" t="s">
        <v>570</v>
      </c>
      <c r="B5" s="160" t="s">
        <v>609</v>
      </c>
      <c r="C5" s="160" t="s">
        <v>546</v>
      </c>
      <c r="D5" s="207" t="s">
        <v>597</v>
      </c>
      <c r="E5" s="159" t="s">
        <v>598</v>
      </c>
    </row>
    <row r="6" spans="1:5" ht="135">
      <c r="A6" t="s">
        <v>557</v>
      </c>
      <c r="B6" s="160" t="s">
        <v>609</v>
      </c>
      <c r="C6" s="160" t="s">
        <v>546</v>
      </c>
      <c r="D6" s="159" t="s">
        <v>597</v>
      </c>
      <c r="E6" s="159" t="s">
        <v>598</v>
      </c>
    </row>
    <row r="7" spans="1:5" ht="135">
      <c r="A7" t="s">
        <v>561</v>
      </c>
      <c r="B7" s="160" t="s">
        <v>609</v>
      </c>
      <c r="C7" s="160" t="s">
        <v>546</v>
      </c>
      <c r="D7" s="159" t="s">
        <v>597</v>
      </c>
      <c r="E7" s="159" t="s">
        <v>598</v>
      </c>
    </row>
    <row r="8" spans="1:5" ht="135">
      <c r="A8" t="s">
        <v>553</v>
      </c>
      <c r="B8" s="160" t="s">
        <v>609</v>
      </c>
      <c r="C8" s="160" t="s">
        <v>546</v>
      </c>
      <c r="D8" s="159" t="s">
        <v>597</v>
      </c>
      <c r="E8" s="159" t="s">
        <v>598</v>
      </c>
    </row>
    <row r="9" spans="1:5" ht="135">
      <c r="A9" t="s">
        <v>571</v>
      </c>
      <c r="B9" s="160" t="s">
        <v>609</v>
      </c>
      <c r="C9" s="160" t="s">
        <v>546</v>
      </c>
      <c r="D9" s="159" t="s">
        <v>597</v>
      </c>
      <c r="E9" s="159" t="s">
        <v>598</v>
      </c>
    </row>
    <row r="10" spans="1:5" ht="135">
      <c r="A10" t="s">
        <v>587</v>
      </c>
      <c r="B10" s="160" t="s">
        <v>609</v>
      </c>
      <c r="C10" s="160" t="s">
        <v>546</v>
      </c>
      <c r="D10" s="159" t="s">
        <v>597</v>
      </c>
      <c r="E10" s="159" t="s">
        <v>598</v>
      </c>
    </row>
    <row r="11" spans="1:5" ht="135">
      <c r="A11" t="s">
        <v>586</v>
      </c>
      <c r="B11" s="160" t="s">
        <v>609</v>
      </c>
      <c r="C11" s="160" t="s">
        <v>546</v>
      </c>
      <c r="D11" s="159" t="s">
        <v>597</v>
      </c>
      <c r="E11" s="159" t="s">
        <v>598</v>
      </c>
    </row>
    <row r="12" spans="1:5" ht="135">
      <c r="A12" t="s">
        <v>590</v>
      </c>
      <c r="B12" s="160" t="s">
        <v>609</v>
      </c>
      <c r="C12" s="160" t="s">
        <v>546</v>
      </c>
      <c r="D12" s="159" t="s">
        <v>597</v>
      </c>
      <c r="E12" s="159" t="s">
        <v>598</v>
      </c>
    </row>
    <row r="13" spans="1:5" ht="135">
      <c r="A13" t="s">
        <v>588</v>
      </c>
      <c r="B13" s="160" t="s">
        <v>609</v>
      </c>
      <c r="C13" s="160" t="s">
        <v>546</v>
      </c>
      <c r="D13" s="159" t="s">
        <v>597</v>
      </c>
      <c r="E13" s="159" t="s">
        <v>598</v>
      </c>
    </row>
    <row r="14" spans="1:5" ht="135">
      <c r="A14" t="s">
        <v>589</v>
      </c>
      <c r="B14" s="160" t="s">
        <v>609</v>
      </c>
      <c r="C14" s="160" t="s">
        <v>546</v>
      </c>
      <c r="D14" s="159" t="s">
        <v>597</v>
      </c>
      <c r="E14" s="159" t="s">
        <v>598</v>
      </c>
    </row>
    <row r="15" spans="1:5" ht="135">
      <c r="A15" t="s">
        <v>574</v>
      </c>
      <c r="B15" s="160" t="s">
        <v>609</v>
      </c>
      <c r="C15" s="160" t="s">
        <v>546</v>
      </c>
      <c r="D15" s="159" t="s">
        <v>597</v>
      </c>
      <c r="E15" s="159" t="s">
        <v>598</v>
      </c>
    </row>
    <row r="16" spans="1:5" ht="135">
      <c r="A16" t="s">
        <v>573</v>
      </c>
      <c r="B16" s="160" t="s">
        <v>609</v>
      </c>
      <c r="C16" s="160" t="s">
        <v>546</v>
      </c>
      <c r="D16" s="159" t="s">
        <v>597</v>
      </c>
      <c r="E16" s="159" t="s">
        <v>598</v>
      </c>
    </row>
    <row r="17" spans="1:5" ht="135">
      <c r="A17" t="s">
        <v>577</v>
      </c>
      <c r="B17" s="160" t="s">
        <v>609</v>
      </c>
      <c r="C17" s="160" t="s">
        <v>546</v>
      </c>
      <c r="D17" s="159" t="s">
        <v>597</v>
      </c>
      <c r="E17" s="159" t="s">
        <v>598</v>
      </c>
    </row>
    <row r="18" spans="1:5" ht="135">
      <c r="A18" t="s">
        <v>566</v>
      </c>
      <c r="B18" s="160" t="s">
        <v>609</v>
      </c>
      <c r="C18" s="160" t="s">
        <v>546</v>
      </c>
      <c r="D18" s="159" t="s">
        <v>597</v>
      </c>
      <c r="E18" s="159" t="s">
        <v>598</v>
      </c>
    </row>
    <row r="19" spans="1:5" ht="135">
      <c r="A19" t="s">
        <v>555</v>
      </c>
      <c r="B19" s="160" t="s">
        <v>609</v>
      </c>
      <c r="C19" s="160" t="s">
        <v>546</v>
      </c>
      <c r="D19" s="159" t="s">
        <v>597</v>
      </c>
      <c r="E19" s="159" t="s">
        <v>598</v>
      </c>
    </row>
    <row r="20" spans="1:5" ht="135">
      <c r="A20" t="s">
        <v>552</v>
      </c>
      <c r="B20" s="160" t="s">
        <v>609</v>
      </c>
      <c r="C20" s="160" t="s">
        <v>546</v>
      </c>
      <c r="D20" s="159" t="s">
        <v>597</v>
      </c>
      <c r="E20" s="159" t="s">
        <v>598</v>
      </c>
    </row>
    <row r="21" spans="1:5" ht="135">
      <c r="A21" t="s">
        <v>542</v>
      </c>
      <c r="B21" s="160" t="s">
        <v>609</v>
      </c>
      <c r="C21" s="160" t="s">
        <v>546</v>
      </c>
      <c r="D21" s="159" t="s">
        <v>597</v>
      </c>
      <c r="E21" s="159" t="s">
        <v>598</v>
      </c>
    </row>
    <row r="22" spans="1:5" ht="135">
      <c r="A22" t="s">
        <v>475</v>
      </c>
      <c r="B22" s="160" t="s">
        <v>609</v>
      </c>
      <c r="C22" s="160" t="s">
        <v>546</v>
      </c>
      <c r="D22" s="159" t="s">
        <v>597</v>
      </c>
      <c r="E22" s="159" t="s">
        <v>598</v>
      </c>
    </row>
    <row r="23" spans="1:5" ht="135">
      <c r="A23" t="s">
        <v>539</v>
      </c>
      <c r="B23" s="160" t="s">
        <v>609</v>
      </c>
      <c r="C23" s="160" t="s">
        <v>546</v>
      </c>
      <c r="D23" s="159" t="s">
        <v>597</v>
      </c>
      <c r="E23" s="159" t="s">
        <v>598</v>
      </c>
    </row>
    <row r="24" spans="1:5" ht="135">
      <c r="A24" s="23" t="s">
        <v>154</v>
      </c>
      <c r="B24" s="160" t="s">
        <v>609</v>
      </c>
      <c r="C24" s="160" t="s">
        <v>546</v>
      </c>
      <c r="D24" s="159" t="s">
        <v>597</v>
      </c>
      <c r="E24" s="159" t="s">
        <v>598</v>
      </c>
    </row>
    <row r="25" spans="1:5" ht="135">
      <c r="A25" s="23" t="s">
        <v>221</v>
      </c>
      <c r="B25" s="160" t="s">
        <v>609</v>
      </c>
      <c r="C25" s="160" t="s">
        <v>546</v>
      </c>
      <c r="D25" s="159" t="s">
        <v>597</v>
      </c>
      <c r="E25" s="159" t="s">
        <v>598</v>
      </c>
    </row>
    <row r="26" spans="1:5" ht="135">
      <c r="A26" s="23" t="s">
        <v>224</v>
      </c>
      <c r="B26" s="160" t="s">
        <v>609</v>
      </c>
      <c r="C26" s="160" t="s">
        <v>546</v>
      </c>
      <c r="D26" s="159" t="s">
        <v>597</v>
      </c>
      <c r="E26" s="159" t="s">
        <v>598</v>
      </c>
    </row>
    <row r="27" spans="1:5" ht="135">
      <c r="A27" s="23" t="s">
        <v>223</v>
      </c>
      <c r="B27" s="160" t="s">
        <v>609</v>
      </c>
      <c r="C27" s="160" t="s">
        <v>546</v>
      </c>
      <c r="D27" s="159" t="s">
        <v>597</v>
      </c>
      <c r="E27" s="159" t="s">
        <v>598</v>
      </c>
    </row>
    <row r="28" spans="1:5" ht="135">
      <c r="A28" s="23" t="s">
        <v>222</v>
      </c>
      <c r="B28" s="160" t="s">
        <v>609</v>
      </c>
      <c r="C28" s="160" t="s">
        <v>546</v>
      </c>
      <c r="D28" s="159" t="s">
        <v>597</v>
      </c>
      <c r="E28" s="159" t="s">
        <v>598</v>
      </c>
    </row>
    <row r="29" spans="1:5" ht="135">
      <c r="A29" s="23" t="s">
        <v>232</v>
      </c>
      <c r="B29" s="160" t="s">
        <v>609</v>
      </c>
      <c r="C29" s="160" t="s">
        <v>546</v>
      </c>
      <c r="D29" s="159" t="s">
        <v>597</v>
      </c>
      <c r="E29" s="159" t="s">
        <v>598</v>
      </c>
    </row>
    <row r="30" spans="1:5" ht="135">
      <c r="A30" s="23" t="s">
        <v>231</v>
      </c>
      <c r="B30" s="160" t="s">
        <v>609</v>
      </c>
      <c r="C30" s="160" t="s">
        <v>546</v>
      </c>
      <c r="D30" s="159" t="s">
        <v>597</v>
      </c>
      <c r="E30" s="159" t="s">
        <v>598</v>
      </c>
    </row>
    <row r="31" spans="1:5" ht="135">
      <c r="A31" s="23" t="s">
        <v>230</v>
      </c>
      <c r="B31" s="160" t="s">
        <v>609</v>
      </c>
      <c r="C31" s="160" t="s">
        <v>546</v>
      </c>
      <c r="D31" s="159" t="s">
        <v>597</v>
      </c>
      <c r="E31" s="159" t="s">
        <v>598</v>
      </c>
    </row>
    <row r="32" spans="1:5" ht="135">
      <c r="A32" s="23" t="s">
        <v>229</v>
      </c>
      <c r="B32" s="160" t="s">
        <v>609</v>
      </c>
      <c r="C32" s="160" t="s">
        <v>546</v>
      </c>
      <c r="D32" s="159" t="s">
        <v>597</v>
      </c>
      <c r="E32" s="159" t="s">
        <v>598</v>
      </c>
    </row>
    <row r="33" spans="1:5" ht="135">
      <c r="A33" s="23" t="s">
        <v>395</v>
      </c>
      <c r="B33" s="160" t="s">
        <v>609</v>
      </c>
      <c r="C33" s="160" t="s">
        <v>546</v>
      </c>
      <c r="D33" s="159" t="s">
        <v>597</v>
      </c>
      <c r="E33" s="159" t="s">
        <v>598</v>
      </c>
    </row>
    <row r="34" spans="1:5" ht="135">
      <c r="A34" s="23" t="s">
        <v>228</v>
      </c>
      <c r="B34" s="160" t="s">
        <v>609</v>
      </c>
      <c r="C34" s="160" t="s">
        <v>546</v>
      </c>
      <c r="D34" s="159" t="s">
        <v>597</v>
      </c>
      <c r="E34" s="159" t="s">
        <v>598</v>
      </c>
    </row>
    <row r="35" spans="1:5" ht="135">
      <c r="A35" s="23" t="s">
        <v>227</v>
      </c>
      <c r="B35" s="160" t="s">
        <v>609</v>
      </c>
      <c r="C35" s="160" t="s">
        <v>546</v>
      </c>
      <c r="D35" s="159" t="s">
        <v>597</v>
      </c>
      <c r="E35" s="159" t="s">
        <v>598</v>
      </c>
    </row>
    <row r="36" spans="1:5" ht="135">
      <c r="A36" s="23" t="s">
        <v>226</v>
      </c>
      <c r="B36" s="160" t="s">
        <v>609</v>
      </c>
      <c r="C36" s="160" t="s">
        <v>546</v>
      </c>
      <c r="D36" s="159" t="s">
        <v>597</v>
      </c>
      <c r="E36" s="159" t="s">
        <v>598</v>
      </c>
    </row>
    <row r="37" spans="1:5" ht="135">
      <c r="A37" s="23" t="s">
        <v>225</v>
      </c>
      <c r="B37" s="160" t="s">
        <v>609</v>
      </c>
      <c r="C37" s="160" t="s">
        <v>546</v>
      </c>
      <c r="D37" s="159" t="s">
        <v>597</v>
      </c>
      <c r="E37" s="159" t="s">
        <v>598</v>
      </c>
    </row>
    <row r="38" spans="1:5" ht="135">
      <c r="A38" s="23" t="s">
        <v>211</v>
      </c>
      <c r="B38" s="160" t="s">
        <v>609</v>
      </c>
      <c r="C38" s="160" t="s">
        <v>546</v>
      </c>
      <c r="D38" s="159" t="s">
        <v>597</v>
      </c>
      <c r="E38" s="159" t="s">
        <v>598</v>
      </c>
    </row>
    <row r="39" spans="1:5" ht="135">
      <c r="A39" s="23" t="s">
        <v>220</v>
      </c>
      <c r="B39" s="160" t="s">
        <v>609</v>
      </c>
      <c r="C39" s="160" t="s">
        <v>546</v>
      </c>
      <c r="D39" s="159" t="s">
        <v>597</v>
      </c>
      <c r="E39" s="159" t="s">
        <v>598</v>
      </c>
    </row>
    <row r="40" spans="1:5" ht="135">
      <c r="A40" s="23" t="s">
        <v>210</v>
      </c>
      <c r="B40" s="160" t="s">
        <v>609</v>
      </c>
      <c r="C40" s="160" t="s">
        <v>546</v>
      </c>
      <c r="D40" s="159" t="s">
        <v>597</v>
      </c>
      <c r="E40" s="159" t="s">
        <v>598</v>
      </c>
    </row>
    <row r="41" spans="1:5" ht="135">
      <c r="A41" s="23" t="s">
        <v>209</v>
      </c>
      <c r="B41" s="160" t="s">
        <v>609</v>
      </c>
      <c r="C41" s="160" t="s">
        <v>546</v>
      </c>
      <c r="D41" s="159" t="s">
        <v>597</v>
      </c>
      <c r="E41" s="159" t="s">
        <v>598</v>
      </c>
    </row>
    <row r="42" spans="1:5" ht="135">
      <c r="A42" s="23" t="s">
        <v>212</v>
      </c>
      <c r="B42" s="160" t="s">
        <v>609</v>
      </c>
      <c r="C42" s="160" t="s">
        <v>546</v>
      </c>
      <c r="D42" s="159" t="s">
        <v>597</v>
      </c>
      <c r="E42" s="159" t="s">
        <v>598</v>
      </c>
    </row>
    <row r="43" spans="1:5" ht="135">
      <c r="A43" s="23" t="s">
        <v>213</v>
      </c>
      <c r="B43" s="160" t="s">
        <v>609</v>
      </c>
      <c r="C43" s="160" t="s">
        <v>546</v>
      </c>
      <c r="D43" s="159" t="s">
        <v>597</v>
      </c>
      <c r="E43" s="159" t="s">
        <v>598</v>
      </c>
    </row>
    <row r="44" spans="1:5" ht="135">
      <c r="A44" s="23" t="s">
        <v>214</v>
      </c>
      <c r="B44" s="160" t="s">
        <v>609</v>
      </c>
      <c r="C44" s="160" t="s">
        <v>546</v>
      </c>
      <c r="D44" s="159" t="s">
        <v>597</v>
      </c>
      <c r="E44" s="159" t="s">
        <v>598</v>
      </c>
    </row>
    <row r="45" spans="1:5" ht="135">
      <c r="A45" s="23" t="s">
        <v>215</v>
      </c>
      <c r="B45" s="160" t="s">
        <v>609</v>
      </c>
      <c r="C45" s="160" t="s">
        <v>546</v>
      </c>
      <c r="D45" s="159" t="s">
        <v>597</v>
      </c>
      <c r="E45" s="159" t="s">
        <v>598</v>
      </c>
    </row>
    <row r="46" spans="1:5" ht="135">
      <c r="A46" s="23" t="s">
        <v>396</v>
      </c>
      <c r="B46" s="160" t="s">
        <v>609</v>
      </c>
      <c r="C46" s="160" t="s">
        <v>546</v>
      </c>
      <c r="D46" s="159" t="s">
        <v>597</v>
      </c>
      <c r="E46" s="159" t="s">
        <v>598</v>
      </c>
    </row>
    <row r="47" spans="1:5" ht="135">
      <c r="A47" s="23" t="s">
        <v>216</v>
      </c>
      <c r="B47" s="160" t="s">
        <v>609</v>
      </c>
      <c r="C47" s="160" t="s">
        <v>546</v>
      </c>
      <c r="D47" s="159" t="s">
        <v>597</v>
      </c>
      <c r="E47" s="159" t="s">
        <v>598</v>
      </c>
    </row>
    <row r="48" spans="1:5" ht="135">
      <c r="A48" s="23" t="s">
        <v>217</v>
      </c>
      <c r="B48" s="160" t="s">
        <v>609</v>
      </c>
      <c r="C48" s="160" t="s">
        <v>546</v>
      </c>
      <c r="D48" s="159" t="s">
        <v>597</v>
      </c>
      <c r="E48" s="159" t="s">
        <v>598</v>
      </c>
    </row>
    <row r="49" spans="1:5" ht="135">
      <c r="A49" s="23" t="s">
        <v>218</v>
      </c>
      <c r="B49" s="160" t="s">
        <v>609</v>
      </c>
      <c r="C49" s="160" t="s">
        <v>546</v>
      </c>
      <c r="D49" s="159" t="s">
        <v>597</v>
      </c>
      <c r="E49" s="159" t="s">
        <v>598</v>
      </c>
    </row>
    <row r="50" spans="1:5" ht="135">
      <c r="A50" s="23" t="s">
        <v>219</v>
      </c>
      <c r="B50" s="160" t="s">
        <v>609</v>
      </c>
      <c r="C50" s="160" t="s">
        <v>546</v>
      </c>
      <c r="D50" s="159" t="s">
        <v>597</v>
      </c>
      <c r="E50" s="159" t="s">
        <v>598</v>
      </c>
    </row>
    <row r="51" spans="1:5" ht="135">
      <c r="A51" t="s">
        <v>551</v>
      </c>
      <c r="B51" s="160" t="s">
        <v>609</v>
      </c>
      <c r="C51" s="160" t="s">
        <v>546</v>
      </c>
      <c r="D51" s="159" t="s">
        <v>597</v>
      </c>
      <c r="E51" s="159" t="s">
        <v>598</v>
      </c>
    </row>
    <row r="52" spans="1:5" ht="135">
      <c r="A52" t="s">
        <v>556</v>
      </c>
      <c r="B52" s="160" t="s">
        <v>609</v>
      </c>
      <c r="C52" s="160" t="s">
        <v>546</v>
      </c>
      <c r="D52" s="159" t="s">
        <v>597</v>
      </c>
      <c r="E52" s="159" t="s">
        <v>598</v>
      </c>
    </row>
    <row r="53" spans="1:5" ht="135">
      <c r="A53" t="s">
        <v>540</v>
      </c>
      <c r="B53" s="160" t="s">
        <v>609</v>
      </c>
      <c r="C53" s="160" t="s">
        <v>546</v>
      </c>
      <c r="D53" s="159" t="s">
        <v>597</v>
      </c>
      <c r="E53" s="159" t="s">
        <v>598</v>
      </c>
    </row>
    <row r="54" spans="1:5" ht="135">
      <c r="A54" t="s">
        <v>578</v>
      </c>
      <c r="B54" s="160" t="s">
        <v>609</v>
      </c>
      <c r="C54" s="160" t="s">
        <v>546</v>
      </c>
      <c r="D54" s="159" t="s">
        <v>597</v>
      </c>
      <c r="E54" s="159" t="s">
        <v>598</v>
      </c>
    </row>
    <row r="55" spans="1:5" ht="135">
      <c r="A55" t="s">
        <v>544</v>
      </c>
      <c r="B55" s="160" t="s">
        <v>609</v>
      </c>
      <c r="C55" s="160" t="s">
        <v>546</v>
      </c>
      <c r="D55" s="159" t="s">
        <v>597</v>
      </c>
      <c r="E55" s="159" t="s">
        <v>598</v>
      </c>
    </row>
    <row r="56" spans="1:5" ht="135">
      <c r="A56" t="s">
        <v>558</v>
      </c>
      <c r="B56" s="160" t="s">
        <v>609</v>
      </c>
      <c r="C56" s="160" t="s">
        <v>546</v>
      </c>
      <c r="D56" s="159" t="s">
        <v>597</v>
      </c>
      <c r="E56" s="159" t="s">
        <v>598</v>
      </c>
    </row>
    <row r="57" spans="1:5" ht="135">
      <c r="A57" t="s">
        <v>550</v>
      </c>
      <c r="B57" s="160" t="s">
        <v>609</v>
      </c>
      <c r="C57" s="160" t="s">
        <v>546</v>
      </c>
      <c r="D57" s="159" t="s">
        <v>597</v>
      </c>
      <c r="E57" s="159" t="s">
        <v>598</v>
      </c>
    </row>
    <row r="58" spans="1:5" ht="135">
      <c r="A58" t="s">
        <v>564</v>
      </c>
      <c r="B58" s="160" t="s">
        <v>609</v>
      </c>
      <c r="C58" s="160" t="s">
        <v>546</v>
      </c>
      <c r="D58" s="159" t="s">
        <v>597</v>
      </c>
      <c r="E58" s="159" t="s">
        <v>598</v>
      </c>
    </row>
    <row r="59" spans="1:5" ht="135">
      <c r="A59" t="s">
        <v>559</v>
      </c>
      <c r="B59" s="160" t="s">
        <v>609</v>
      </c>
      <c r="C59" s="160" t="s">
        <v>546</v>
      </c>
      <c r="D59" s="159" t="s">
        <v>597</v>
      </c>
      <c r="E59" s="159" t="s">
        <v>598</v>
      </c>
    </row>
    <row r="60" spans="1:5" ht="135">
      <c r="A60" t="s">
        <v>554</v>
      </c>
      <c r="B60" s="160" t="s">
        <v>609</v>
      </c>
      <c r="C60" s="160" t="s">
        <v>546</v>
      </c>
      <c r="D60" s="159" t="s">
        <v>597</v>
      </c>
      <c r="E60" s="159" t="s">
        <v>598</v>
      </c>
    </row>
    <row r="61" spans="1:5" ht="135">
      <c r="A61" t="s">
        <v>562</v>
      </c>
      <c r="B61" s="160" t="s">
        <v>609</v>
      </c>
      <c r="C61" s="160" t="s">
        <v>546</v>
      </c>
      <c r="D61" s="159" t="s">
        <v>597</v>
      </c>
      <c r="E61" s="159" t="s">
        <v>598</v>
      </c>
    </row>
    <row r="62" spans="1:5" ht="135">
      <c r="A62" t="s">
        <v>565</v>
      </c>
      <c r="B62" s="160" t="s">
        <v>609</v>
      </c>
      <c r="C62" s="160" t="s">
        <v>546</v>
      </c>
      <c r="D62" s="159" t="s">
        <v>597</v>
      </c>
      <c r="E62" s="159" t="s">
        <v>598</v>
      </c>
    </row>
    <row r="63" spans="1:5" ht="135">
      <c r="A63" t="s">
        <v>580</v>
      </c>
      <c r="B63" s="160" t="s">
        <v>609</v>
      </c>
      <c r="C63" s="160" t="s">
        <v>546</v>
      </c>
      <c r="D63" s="159" t="s">
        <v>597</v>
      </c>
      <c r="E63" s="159" t="s">
        <v>598</v>
      </c>
    </row>
    <row r="64" spans="1:5" ht="135">
      <c r="A64" t="s">
        <v>568</v>
      </c>
      <c r="B64" s="160" t="s">
        <v>609</v>
      </c>
      <c r="C64" s="160" t="s">
        <v>546</v>
      </c>
      <c r="D64" s="159" t="s">
        <v>597</v>
      </c>
      <c r="E64" s="159" t="s">
        <v>598</v>
      </c>
    </row>
    <row r="65" spans="1:5" ht="135">
      <c r="A65" t="s">
        <v>549</v>
      </c>
      <c r="B65" s="160" t="s">
        <v>609</v>
      </c>
      <c r="C65" s="160" t="s">
        <v>546</v>
      </c>
      <c r="D65" s="159" t="s">
        <v>597</v>
      </c>
      <c r="E65" s="159" t="s">
        <v>598</v>
      </c>
    </row>
    <row r="66" spans="1:5" ht="135">
      <c r="A66" t="s">
        <v>541</v>
      </c>
      <c r="B66" s="160" t="s">
        <v>609</v>
      </c>
      <c r="C66" s="160" t="s">
        <v>546</v>
      </c>
      <c r="D66" s="159" t="s">
        <v>597</v>
      </c>
      <c r="E66" s="159" t="s">
        <v>598</v>
      </c>
    </row>
    <row r="67" spans="1:5" ht="135">
      <c r="A67" t="s">
        <v>548</v>
      </c>
      <c r="B67" s="160" t="s">
        <v>609</v>
      </c>
      <c r="C67" s="160" t="s">
        <v>546</v>
      </c>
      <c r="D67" s="159" t="s">
        <v>597</v>
      </c>
      <c r="E67" s="159" t="s">
        <v>598</v>
      </c>
    </row>
    <row r="68" spans="1:5" ht="135">
      <c r="A68" t="s">
        <v>560</v>
      </c>
      <c r="B68" s="160" t="s">
        <v>609</v>
      </c>
      <c r="C68" s="160" t="s">
        <v>546</v>
      </c>
      <c r="D68" s="159" t="s">
        <v>597</v>
      </c>
      <c r="E68" s="159" t="s">
        <v>598</v>
      </c>
    </row>
    <row r="69" spans="1:5" ht="135">
      <c r="A69" t="s">
        <v>567</v>
      </c>
      <c r="B69" s="160" t="s">
        <v>609</v>
      </c>
      <c r="C69" s="160" t="s">
        <v>546</v>
      </c>
      <c r="D69" s="159" t="s">
        <v>597</v>
      </c>
      <c r="E69" s="159" t="s">
        <v>598</v>
      </c>
    </row>
    <row r="70" spans="1:5" ht="135">
      <c r="A70" t="s">
        <v>547</v>
      </c>
      <c r="B70" s="160" t="s">
        <v>609</v>
      </c>
      <c r="C70" s="160" t="s">
        <v>546</v>
      </c>
      <c r="D70" s="159" t="s">
        <v>597</v>
      </c>
      <c r="E70" s="159" t="s">
        <v>598</v>
      </c>
    </row>
    <row r="71" spans="1:5" ht="135">
      <c r="A71" t="s">
        <v>576</v>
      </c>
      <c r="B71" s="160" t="s">
        <v>609</v>
      </c>
      <c r="C71" s="160" t="s">
        <v>546</v>
      </c>
      <c r="D71" s="159" t="s">
        <v>597</v>
      </c>
      <c r="E71" s="159" t="s">
        <v>598</v>
      </c>
    </row>
    <row r="72" spans="1:5" ht="135">
      <c r="A72" t="s">
        <v>582</v>
      </c>
      <c r="B72" s="160" t="s">
        <v>609</v>
      </c>
      <c r="C72" s="160" t="s">
        <v>546</v>
      </c>
      <c r="D72" s="159" t="s">
        <v>597</v>
      </c>
      <c r="E72" s="159" t="s">
        <v>598</v>
      </c>
    </row>
    <row r="73" spans="1:5" ht="135">
      <c r="A73" t="s">
        <v>581</v>
      </c>
      <c r="B73" s="160" t="s">
        <v>609</v>
      </c>
      <c r="C73" s="160" t="s">
        <v>546</v>
      </c>
      <c r="D73" s="159" t="s">
        <v>597</v>
      </c>
      <c r="E73" s="159" t="s">
        <v>598</v>
      </c>
    </row>
    <row r="74" spans="1:5" ht="135">
      <c r="A74" t="s">
        <v>585</v>
      </c>
      <c r="B74" s="160" t="s">
        <v>609</v>
      </c>
      <c r="C74" s="160" t="s">
        <v>546</v>
      </c>
      <c r="D74" s="159" t="s">
        <v>597</v>
      </c>
      <c r="E74" s="159" t="s">
        <v>598</v>
      </c>
    </row>
    <row r="75" spans="1:5" ht="135">
      <c r="A75" t="s">
        <v>583</v>
      </c>
      <c r="B75" s="160" t="s">
        <v>609</v>
      </c>
      <c r="C75" s="160" t="s">
        <v>546</v>
      </c>
      <c r="D75" s="159" t="s">
        <v>597</v>
      </c>
      <c r="E75" s="159" t="s">
        <v>598</v>
      </c>
    </row>
    <row r="76" spans="1:5" ht="135">
      <c r="A76" t="s">
        <v>584</v>
      </c>
      <c r="B76" s="160" t="s">
        <v>609</v>
      </c>
      <c r="C76" s="160" t="s">
        <v>546</v>
      </c>
      <c r="D76" s="159" t="s">
        <v>597</v>
      </c>
      <c r="E76" s="159" t="s">
        <v>598</v>
      </c>
    </row>
    <row r="77" spans="1:5" ht="135">
      <c r="A77" t="s">
        <v>543</v>
      </c>
      <c r="B77" s="160" t="s">
        <v>609</v>
      </c>
      <c r="C77" s="160" t="s">
        <v>546</v>
      </c>
      <c r="D77" s="159" t="s">
        <v>597</v>
      </c>
      <c r="E77" s="159" t="s">
        <v>598</v>
      </c>
    </row>
  </sheetData>
  <hyperlinks>
    <hyperlink ref="D5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7"/>
  <dimension ref="A1:E77"/>
  <sheetViews>
    <sheetView workbookViewId="0">
      <selection activeCell="B6" sqref="B6"/>
    </sheetView>
  </sheetViews>
  <sheetFormatPr defaultColWidth="8.85546875" defaultRowHeight="15"/>
  <cols>
    <col min="1" max="1" width="20.5703125" style="159" bestFit="1" customWidth="1"/>
    <col min="2" max="2" width="16.85546875" style="159" bestFit="1" customWidth="1"/>
    <col min="3" max="3" width="39.7109375" style="159" customWidth="1"/>
    <col min="4" max="4" width="62.7109375" style="159" bestFit="1" customWidth="1"/>
    <col min="5" max="5" width="9.42578125" style="159" bestFit="1" customWidth="1"/>
    <col min="6" max="16384" width="8.85546875" style="159"/>
  </cols>
  <sheetData>
    <row r="1" spans="1:5">
      <c r="A1" s="159" t="s">
        <v>591</v>
      </c>
      <c r="B1" s="159" t="s">
        <v>595</v>
      </c>
      <c r="C1" s="159" t="s">
        <v>594</v>
      </c>
      <c r="D1" s="159" t="s">
        <v>258</v>
      </c>
      <c r="E1" s="159" t="s">
        <v>592</v>
      </c>
    </row>
    <row r="2" spans="1:5" ht="75">
      <c r="A2" t="s">
        <v>563</v>
      </c>
      <c r="B2" s="160" t="s">
        <v>604</v>
      </c>
      <c r="C2" s="160" t="s">
        <v>596</v>
      </c>
      <c r="D2" s="30" t="s">
        <v>610</v>
      </c>
      <c r="E2" s="159" t="s">
        <v>600</v>
      </c>
    </row>
    <row r="3" spans="1:5" ht="75">
      <c r="A3" t="s">
        <v>575</v>
      </c>
      <c r="B3" s="160" t="s">
        <v>604</v>
      </c>
      <c r="C3" s="160" t="s">
        <v>546</v>
      </c>
      <c r="D3" t="s">
        <v>610</v>
      </c>
      <c r="E3" s="159" t="s">
        <v>600</v>
      </c>
    </row>
    <row r="4" spans="1:5" ht="75">
      <c r="A4" t="s">
        <v>572</v>
      </c>
      <c r="B4" s="160" t="s">
        <v>604</v>
      </c>
      <c r="C4" s="160" t="s">
        <v>546</v>
      </c>
      <c r="D4" t="s">
        <v>610</v>
      </c>
      <c r="E4" s="159" t="s">
        <v>600</v>
      </c>
    </row>
    <row r="5" spans="1:5" ht="75">
      <c r="A5" t="s">
        <v>570</v>
      </c>
      <c r="B5" s="160" t="s">
        <v>604</v>
      </c>
      <c r="C5" s="160" t="s">
        <v>546</v>
      </c>
      <c r="D5" t="s">
        <v>610</v>
      </c>
      <c r="E5" s="159" t="s">
        <v>600</v>
      </c>
    </row>
    <row r="6" spans="1:5" ht="75">
      <c r="A6" t="s">
        <v>557</v>
      </c>
      <c r="B6" s="160" t="s">
        <v>604</v>
      </c>
      <c r="C6" s="160" t="s">
        <v>546</v>
      </c>
      <c r="D6" t="s">
        <v>610</v>
      </c>
      <c r="E6" s="159" t="s">
        <v>600</v>
      </c>
    </row>
    <row r="7" spans="1:5" ht="75">
      <c r="A7" t="s">
        <v>561</v>
      </c>
      <c r="B7" s="160" t="s">
        <v>604</v>
      </c>
      <c r="C7" s="160" t="s">
        <v>546</v>
      </c>
      <c r="D7" t="s">
        <v>610</v>
      </c>
      <c r="E7" s="159" t="s">
        <v>600</v>
      </c>
    </row>
    <row r="8" spans="1:5" ht="75">
      <c r="A8" t="s">
        <v>553</v>
      </c>
      <c r="B8" s="160" t="s">
        <v>604</v>
      </c>
      <c r="C8" s="160" t="s">
        <v>546</v>
      </c>
      <c r="D8" t="s">
        <v>610</v>
      </c>
      <c r="E8" s="159" t="s">
        <v>600</v>
      </c>
    </row>
    <row r="9" spans="1:5" ht="75">
      <c r="A9" t="s">
        <v>571</v>
      </c>
      <c r="B9" s="160" t="s">
        <v>604</v>
      </c>
      <c r="C9" s="160" t="s">
        <v>546</v>
      </c>
      <c r="D9" t="s">
        <v>610</v>
      </c>
      <c r="E9" s="159" t="s">
        <v>600</v>
      </c>
    </row>
    <row r="10" spans="1:5" ht="75">
      <c r="A10" t="s">
        <v>587</v>
      </c>
      <c r="B10" s="160" t="s">
        <v>604</v>
      </c>
      <c r="C10" s="160" t="s">
        <v>546</v>
      </c>
      <c r="D10" t="s">
        <v>610</v>
      </c>
      <c r="E10" s="159" t="s">
        <v>600</v>
      </c>
    </row>
    <row r="11" spans="1:5" ht="75">
      <c r="A11" t="s">
        <v>586</v>
      </c>
      <c r="B11" s="160" t="s">
        <v>604</v>
      </c>
      <c r="C11" s="160" t="s">
        <v>546</v>
      </c>
      <c r="D11" t="s">
        <v>610</v>
      </c>
      <c r="E11" s="159" t="s">
        <v>600</v>
      </c>
    </row>
    <row r="12" spans="1:5" ht="75">
      <c r="A12" t="s">
        <v>590</v>
      </c>
      <c r="B12" s="160" t="s">
        <v>604</v>
      </c>
      <c r="C12" s="160" t="s">
        <v>546</v>
      </c>
      <c r="D12" t="s">
        <v>610</v>
      </c>
      <c r="E12" s="159" t="s">
        <v>600</v>
      </c>
    </row>
    <row r="13" spans="1:5" ht="75">
      <c r="A13" t="s">
        <v>588</v>
      </c>
      <c r="B13" s="160" t="s">
        <v>604</v>
      </c>
      <c r="C13" s="160" t="s">
        <v>546</v>
      </c>
      <c r="D13" t="s">
        <v>610</v>
      </c>
      <c r="E13" s="159" t="s">
        <v>600</v>
      </c>
    </row>
    <row r="14" spans="1:5" ht="75">
      <c r="A14" t="s">
        <v>589</v>
      </c>
      <c r="B14" s="160" t="s">
        <v>604</v>
      </c>
      <c r="C14" s="160" t="s">
        <v>546</v>
      </c>
      <c r="D14" t="s">
        <v>610</v>
      </c>
      <c r="E14" s="159" t="s">
        <v>600</v>
      </c>
    </row>
    <row r="15" spans="1:5" ht="75">
      <c r="A15" t="s">
        <v>574</v>
      </c>
      <c r="B15" s="160" t="s">
        <v>604</v>
      </c>
      <c r="C15" s="160" t="s">
        <v>546</v>
      </c>
      <c r="D15" t="s">
        <v>610</v>
      </c>
      <c r="E15" s="159" t="s">
        <v>600</v>
      </c>
    </row>
    <row r="16" spans="1:5" ht="75">
      <c r="A16" t="s">
        <v>573</v>
      </c>
      <c r="B16" s="160" t="s">
        <v>604</v>
      </c>
      <c r="C16" s="160" t="s">
        <v>546</v>
      </c>
      <c r="D16" t="s">
        <v>610</v>
      </c>
      <c r="E16" s="159" t="s">
        <v>600</v>
      </c>
    </row>
    <row r="17" spans="1:5" ht="75">
      <c r="A17" t="s">
        <v>577</v>
      </c>
      <c r="B17" s="160" t="s">
        <v>604</v>
      </c>
      <c r="C17" s="160" t="s">
        <v>546</v>
      </c>
      <c r="D17" t="s">
        <v>610</v>
      </c>
      <c r="E17" s="159" t="s">
        <v>600</v>
      </c>
    </row>
    <row r="18" spans="1:5" ht="75">
      <c r="A18" t="s">
        <v>566</v>
      </c>
      <c r="B18" s="160" t="s">
        <v>604</v>
      </c>
      <c r="C18" s="160" t="s">
        <v>546</v>
      </c>
      <c r="D18" t="s">
        <v>610</v>
      </c>
      <c r="E18" s="159" t="s">
        <v>600</v>
      </c>
    </row>
    <row r="19" spans="1:5" ht="75">
      <c r="A19" t="s">
        <v>555</v>
      </c>
      <c r="B19" s="160" t="s">
        <v>604</v>
      </c>
      <c r="C19" s="160" t="s">
        <v>546</v>
      </c>
      <c r="D19" t="s">
        <v>610</v>
      </c>
      <c r="E19" s="159" t="s">
        <v>600</v>
      </c>
    </row>
    <row r="20" spans="1:5" ht="75">
      <c r="A20" t="s">
        <v>552</v>
      </c>
      <c r="B20" s="160" t="s">
        <v>604</v>
      </c>
      <c r="C20" s="160" t="s">
        <v>546</v>
      </c>
      <c r="D20" t="s">
        <v>610</v>
      </c>
      <c r="E20" s="159" t="s">
        <v>600</v>
      </c>
    </row>
    <row r="21" spans="1:5" ht="75">
      <c r="A21" t="s">
        <v>542</v>
      </c>
      <c r="B21" s="160" t="s">
        <v>604</v>
      </c>
      <c r="C21" s="160" t="s">
        <v>546</v>
      </c>
      <c r="D21" t="s">
        <v>610</v>
      </c>
      <c r="E21" s="159" t="s">
        <v>600</v>
      </c>
    </row>
    <row r="22" spans="1:5" ht="75">
      <c r="A22" t="s">
        <v>475</v>
      </c>
      <c r="B22" s="160" t="s">
        <v>604</v>
      </c>
      <c r="C22" s="160" t="s">
        <v>546</v>
      </c>
      <c r="D22" t="s">
        <v>610</v>
      </c>
      <c r="E22" s="159" t="s">
        <v>600</v>
      </c>
    </row>
    <row r="23" spans="1:5" ht="75">
      <c r="A23" t="s">
        <v>539</v>
      </c>
      <c r="B23" s="160" t="s">
        <v>604</v>
      </c>
      <c r="C23" s="160" t="s">
        <v>546</v>
      </c>
      <c r="D23" t="s">
        <v>610</v>
      </c>
      <c r="E23" s="159" t="s">
        <v>600</v>
      </c>
    </row>
    <row r="24" spans="1:5" ht="75">
      <c r="A24" s="23" t="s">
        <v>154</v>
      </c>
      <c r="B24" s="160" t="s">
        <v>604</v>
      </c>
      <c r="C24" s="160" t="s">
        <v>546</v>
      </c>
      <c r="D24" t="s">
        <v>610</v>
      </c>
      <c r="E24" s="159" t="s">
        <v>600</v>
      </c>
    </row>
    <row r="25" spans="1:5" ht="75">
      <c r="A25" s="23" t="s">
        <v>221</v>
      </c>
      <c r="B25" s="160" t="s">
        <v>604</v>
      </c>
      <c r="C25" s="160" t="s">
        <v>546</v>
      </c>
      <c r="D25" t="s">
        <v>610</v>
      </c>
      <c r="E25" s="159" t="s">
        <v>600</v>
      </c>
    </row>
    <row r="26" spans="1:5" ht="75">
      <c r="A26" s="23" t="s">
        <v>224</v>
      </c>
      <c r="B26" s="160" t="s">
        <v>604</v>
      </c>
      <c r="C26" s="160" t="s">
        <v>546</v>
      </c>
      <c r="D26" t="s">
        <v>610</v>
      </c>
      <c r="E26" s="159" t="s">
        <v>600</v>
      </c>
    </row>
    <row r="27" spans="1:5" ht="75">
      <c r="A27" s="23" t="s">
        <v>223</v>
      </c>
      <c r="B27" s="160" t="s">
        <v>604</v>
      </c>
      <c r="C27" s="160" t="s">
        <v>546</v>
      </c>
      <c r="D27" t="s">
        <v>610</v>
      </c>
      <c r="E27" s="159" t="s">
        <v>600</v>
      </c>
    </row>
    <row r="28" spans="1:5" ht="75">
      <c r="A28" s="23" t="s">
        <v>222</v>
      </c>
      <c r="B28" s="160" t="s">
        <v>604</v>
      </c>
      <c r="C28" s="160" t="s">
        <v>546</v>
      </c>
      <c r="D28" t="s">
        <v>610</v>
      </c>
      <c r="E28" s="159" t="s">
        <v>600</v>
      </c>
    </row>
    <row r="29" spans="1:5" ht="75">
      <c r="A29" s="23" t="s">
        <v>232</v>
      </c>
      <c r="B29" s="160" t="s">
        <v>604</v>
      </c>
      <c r="C29" s="160" t="s">
        <v>546</v>
      </c>
      <c r="D29" t="s">
        <v>610</v>
      </c>
      <c r="E29" s="159" t="s">
        <v>600</v>
      </c>
    </row>
    <row r="30" spans="1:5" ht="75">
      <c r="A30" s="23" t="s">
        <v>231</v>
      </c>
      <c r="B30" s="160" t="s">
        <v>604</v>
      </c>
      <c r="C30" s="160" t="s">
        <v>546</v>
      </c>
      <c r="D30" t="s">
        <v>610</v>
      </c>
      <c r="E30" s="159" t="s">
        <v>600</v>
      </c>
    </row>
    <row r="31" spans="1:5" ht="75">
      <c r="A31" s="23" t="s">
        <v>230</v>
      </c>
      <c r="B31" s="160" t="s">
        <v>604</v>
      </c>
      <c r="C31" s="160" t="s">
        <v>546</v>
      </c>
      <c r="D31" t="s">
        <v>610</v>
      </c>
      <c r="E31" s="159" t="s">
        <v>600</v>
      </c>
    </row>
    <row r="32" spans="1:5" ht="75">
      <c r="A32" s="23" t="s">
        <v>229</v>
      </c>
      <c r="B32" s="160" t="s">
        <v>604</v>
      </c>
      <c r="C32" s="160" t="s">
        <v>546</v>
      </c>
      <c r="D32" t="s">
        <v>610</v>
      </c>
      <c r="E32" s="159" t="s">
        <v>600</v>
      </c>
    </row>
    <row r="33" spans="1:5" ht="75">
      <c r="A33" s="23" t="s">
        <v>395</v>
      </c>
      <c r="B33" s="160" t="s">
        <v>604</v>
      </c>
      <c r="C33" s="160" t="s">
        <v>546</v>
      </c>
      <c r="D33" t="s">
        <v>610</v>
      </c>
      <c r="E33" s="159" t="s">
        <v>600</v>
      </c>
    </row>
    <row r="34" spans="1:5" ht="75">
      <c r="A34" s="23" t="s">
        <v>228</v>
      </c>
      <c r="B34" s="160" t="s">
        <v>604</v>
      </c>
      <c r="C34" s="160" t="s">
        <v>546</v>
      </c>
      <c r="D34" t="s">
        <v>610</v>
      </c>
      <c r="E34" s="159" t="s">
        <v>600</v>
      </c>
    </row>
    <row r="35" spans="1:5" ht="75">
      <c r="A35" s="23" t="s">
        <v>227</v>
      </c>
      <c r="B35" s="160" t="s">
        <v>604</v>
      </c>
      <c r="C35" s="160" t="s">
        <v>546</v>
      </c>
      <c r="D35" t="s">
        <v>610</v>
      </c>
      <c r="E35" s="159" t="s">
        <v>600</v>
      </c>
    </row>
    <row r="36" spans="1:5" ht="75">
      <c r="A36" s="23" t="s">
        <v>226</v>
      </c>
      <c r="B36" s="160" t="s">
        <v>604</v>
      </c>
      <c r="C36" s="160" t="s">
        <v>546</v>
      </c>
      <c r="D36" t="s">
        <v>610</v>
      </c>
      <c r="E36" s="159" t="s">
        <v>600</v>
      </c>
    </row>
    <row r="37" spans="1:5" ht="75">
      <c r="A37" s="23" t="s">
        <v>225</v>
      </c>
      <c r="B37" s="160" t="s">
        <v>604</v>
      </c>
      <c r="C37" s="160" t="s">
        <v>546</v>
      </c>
      <c r="D37" t="s">
        <v>610</v>
      </c>
      <c r="E37" s="159" t="s">
        <v>600</v>
      </c>
    </row>
    <row r="38" spans="1:5" ht="75">
      <c r="A38" s="23" t="s">
        <v>211</v>
      </c>
      <c r="B38" s="160" t="s">
        <v>604</v>
      </c>
      <c r="C38" s="160" t="s">
        <v>546</v>
      </c>
      <c r="D38" t="s">
        <v>610</v>
      </c>
      <c r="E38" s="159" t="s">
        <v>600</v>
      </c>
    </row>
    <row r="39" spans="1:5" ht="75">
      <c r="A39" s="23" t="s">
        <v>220</v>
      </c>
      <c r="B39" s="160" t="s">
        <v>604</v>
      </c>
      <c r="C39" s="160" t="s">
        <v>546</v>
      </c>
      <c r="D39" t="s">
        <v>610</v>
      </c>
      <c r="E39" s="159" t="s">
        <v>600</v>
      </c>
    </row>
    <row r="40" spans="1:5" ht="75">
      <c r="A40" s="23" t="s">
        <v>210</v>
      </c>
      <c r="B40" s="160" t="s">
        <v>604</v>
      </c>
      <c r="C40" s="160" t="s">
        <v>546</v>
      </c>
      <c r="D40" t="s">
        <v>610</v>
      </c>
      <c r="E40" s="159" t="s">
        <v>600</v>
      </c>
    </row>
    <row r="41" spans="1:5" ht="75">
      <c r="A41" s="23" t="s">
        <v>209</v>
      </c>
      <c r="B41" s="160" t="s">
        <v>604</v>
      </c>
      <c r="C41" s="160" t="s">
        <v>546</v>
      </c>
      <c r="D41" t="s">
        <v>610</v>
      </c>
      <c r="E41" s="159" t="s">
        <v>600</v>
      </c>
    </row>
    <row r="42" spans="1:5" ht="75">
      <c r="A42" s="23" t="s">
        <v>212</v>
      </c>
      <c r="B42" s="160" t="s">
        <v>604</v>
      </c>
      <c r="C42" s="160" t="s">
        <v>546</v>
      </c>
      <c r="D42" t="s">
        <v>610</v>
      </c>
      <c r="E42" s="159" t="s">
        <v>600</v>
      </c>
    </row>
    <row r="43" spans="1:5" ht="75">
      <c r="A43" s="23" t="s">
        <v>213</v>
      </c>
      <c r="B43" s="160" t="s">
        <v>604</v>
      </c>
      <c r="C43" s="160" t="s">
        <v>546</v>
      </c>
      <c r="D43" t="s">
        <v>610</v>
      </c>
      <c r="E43" s="159" t="s">
        <v>600</v>
      </c>
    </row>
    <row r="44" spans="1:5" ht="75">
      <c r="A44" s="23" t="s">
        <v>214</v>
      </c>
      <c r="B44" s="160" t="s">
        <v>604</v>
      </c>
      <c r="C44" s="160" t="s">
        <v>546</v>
      </c>
      <c r="D44" t="s">
        <v>610</v>
      </c>
      <c r="E44" s="159" t="s">
        <v>600</v>
      </c>
    </row>
    <row r="45" spans="1:5" ht="75">
      <c r="A45" s="23" t="s">
        <v>215</v>
      </c>
      <c r="B45" s="160" t="s">
        <v>604</v>
      </c>
      <c r="C45" s="160" t="s">
        <v>546</v>
      </c>
      <c r="D45" t="s">
        <v>610</v>
      </c>
      <c r="E45" s="159" t="s">
        <v>600</v>
      </c>
    </row>
    <row r="46" spans="1:5" ht="75">
      <c r="A46" s="23" t="s">
        <v>396</v>
      </c>
      <c r="B46" s="160" t="s">
        <v>604</v>
      </c>
      <c r="C46" s="160" t="s">
        <v>546</v>
      </c>
      <c r="D46" t="s">
        <v>610</v>
      </c>
      <c r="E46" s="159" t="s">
        <v>600</v>
      </c>
    </row>
    <row r="47" spans="1:5" ht="75">
      <c r="A47" s="23" t="s">
        <v>216</v>
      </c>
      <c r="B47" s="160" t="s">
        <v>604</v>
      </c>
      <c r="C47" s="160" t="s">
        <v>546</v>
      </c>
      <c r="D47" t="s">
        <v>610</v>
      </c>
      <c r="E47" s="159" t="s">
        <v>600</v>
      </c>
    </row>
    <row r="48" spans="1:5" ht="75">
      <c r="A48" s="23" t="s">
        <v>217</v>
      </c>
      <c r="B48" s="160" t="s">
        <v>604</v>
      </c>
      <c r="C48" s="160" t="s">
        <v>546</v>
      </c>
      <c r="D48" t="s">
        <v>610</v>
      </c>
      <c r="E48" s="159" t="s">
        <v>600</v>
      </c>
    </row>
    <row r="49" spans="1:5" ht="75">
      <c r="A49" s="23" t="s">
        <v>218</v>
      </c>
      <c r="B49" s="160" t="s">
        <v>604</v>
      </c>
      <c r="C49" s="160" t="s">
        <v>546</v>
      </c>
      <c r="D49" t="s">
        <v>610</v>
      </c>
      <c r="E49" s="159" t="s">
        <v>600</v>
      </c>
    </row>
    <row r="50" spans="1:5" ht="75">
      <c r="A50" s="23" t="s">
        <v>219</v>
      </c>
      <c r="B50" s="160" t="s">
        <v>604</v>
      </c>
      <c r="C50" s="160" t="s">
        <v>546</v>
      </c>
      <c r="D50" t="s">
        <v>610</v>
      </c>
      <c r="E50" s="159" t="s">
        <v>600</v>
      </c>
    </row>
    <row r="51" spans="1:5" ht="75">
      <c r="A51" t="s">
        <v>551</v>
      </c>
      <c r="B51" s="160" t="s">
        <v>604</v>
      </c>
      <c r="C51" s="160" t="s">
        <v>546</v>
      </c>
      <c r="D51" t="s">
        <v>610</v>
      </c>
      <c r="E51" s="159" t="s">
        <v>600</v>
      </c>
    </row>
    <row r="52" spans="1:5" ht="75">
      <c r="A52" t="s">
        <v>556</v>
      </c>
      <c r="B52" s="160" t="s">
        <v>604</v>
      </c>
      <c r="C52" s="160" t="s">
        <v>546</v>
      </c>
      <c r="D52" t="s">
        <v>610</v>
      </c>
      <c r="E52" s="159" t="s">
        <v>600</v>
      </c>
    </row>
    <row r="53" spans="1:5" ht="75">
      <c r="A53" t="s">
        <v>540</v>
      </c>
      <c r="B53" s="160" t="s">
        <v>604</v>
      </c>
      <c r="C53" s="160" t="s">
        <v>546</v>
      </c>
      <c r="D53" t="s">
        <v>610</v>
      </c>
      <c r="E53" s="159" t="s">
        <v>600</v>
      </c>
    </row>
    <row r="54" spans="1:5" ht="75">
      <c r="A54" t="s">
        <v>578</v>
      </c>
      <c r="B54" s="160" t="s">
        <v>604</v>
      </c>
      <c r="C54" s="160" t="s">
        <v>546</v>
      </c>
      <c r="D54" t="s">
        <v>610</v>
      </c>
      <c r="E54" s="159" t="s">
        <v>600</v>
      </c>
    </row>
    <row r="55" spans="1:5" ht="75">
      <c r="A55" t="s">
        <v>544</v>
      </c>
      <c r="B55" s="160" t="s">
        <v>604</v>
      </c>
      <c r="C55" s="160" t="s">
        <v>546</v>
      </c>
      <c r="D55" t="s">
        <v>610</v>
      </c>
      <c r="E55" s="159" t="s">
        <v>600</v>
      </c>
    </row>
    <row r="56" spans="1:5" ht="75">
      <c r="A56" t="s">
        <v>558</v>
      </c>
      <c r="B56" s="160" t="s">
        <v>604</v>
      </c>
      <c r="C56" s="160" t="s">
        <v>546</v>
      </c>
      <c r="D56" t="s">
        <v>610</v>
      </c>
      <c r="E56" s="159" t="s">
        <v>600</v>
      </c>
    </row>
    <row r="57" spans="1:5" ht="75">
      <c r="A57" t="s">
        <v>550</v>
      </c>
      <c r="B57" s="160" t="s">
        <v>604</v>
      </c>
      <c r="C57" s="160" t="s">
        <v>546</v>
      </c>
      <c r="D57" t="s">
        <v>610</v>
      </c>
      <c r="E57" s="159" t="s">
        <v>600</v>
      </c>
    </row>
    <row r="58" spans="1:5" ht="75">
      <c r="A58" t="s">
        <v>564</v>
      </c>
      <c r="B58" s="160" t="s">
        <v>604</v>
      </c>
      <c r="C58" s="160" t="s">
        <v>546</v>
      </c>
      <c r="D58" t="s">
        <v>610</v>
      </c>
      <c r="E58" s="159" t="s">
        <v>600</v>
      </c>
    </row>
    <row r="59" spans="1:5" ht="75">
      <c r="A59" t="s">
        <v>559</v>
      </c>
      <c r="B59" s="160" t="s">
        <v>604</v>
      </c>
      <c r="C59" s="160" t="s">
        <v>546</v>
      </c>
      <c r="D59" t="s">
        <v>610</v>
      </c>
      <c r="E59" s="159" t="s">
        <v>600</v>
      </c>
    </row>
    <row r="60" spans="1:5" ht="75">
      <c r="A60" t="s">
        <v>554</v>
      </c>
      <c r="B60" s="160" t="s">
        <v>604</v>
      </c>
      <c r="C60" s="160" t="s">
        <v>546</v>
      </c>
      <c r="D60" t="s">
        <v>610</v>
      </c>
      <c r="E60" s="159" t="s">
        <v>600</v>
      </c>
    </row>
    <row r="61" spans="1:5" ht="75">
      <c r="A61" t="s">
        <v>562</v>
      </c>
      <c r="B61" s="160" t="s">
        <v>604</v>
      </c>
      <c r="C61" s="160" t="s">
        <v>546</v>
      </c>
      <c r="D61" t="s">
        <v>610</v>
      </c>
      <c r="E61" s="159" t="s">
        <v>600</v>
      </c>
    </row>
    <row r="62" spans="1:5" ht="75">
      <c r="A62" t="s">
        <v>565</v>
      </c>
      <c r="B62" s="160" t="s">
        <v>604</v>
      </c>
      <c r="C62" s="160" t="s">
        <v>546</v>
      </c>
      <c r="D62" t="s">
        <v>610</v>
      </c>
      <c r="E62" s="159" t="s">
        <v>600</v>
      </c>
    </row>
    <row r="63" spans="1:5" ht="75">
      <c r="A63" t="s">
        <v>580</v>
      </c>
      <c r="B63" s="160" t="s">
        <v>604</v>
      </c>
      <c r="C63" s="160" t="s">
        <v>546</v>
      </c>
      <c r="D63" t="s">
        <v>610</v>
      </c>
      <c r="E63" s="159" t="s">
        <v>600</v>
      </c>
    </row>
    <row r="64" spans="1:5" ht="75">
      <c r="A64" t="s">
        <v>568</v>
      </c>
      <c r="B64" s="160" t="s">
        <v>604</v>
      </c>
      <c r="C64" s="160" t="s">
        <v>546</v>
      </c>
      <c r="D64" t="s">
        <v>610</v>
      </c>
      <c r="E64" s="159" t="s">
        <v>600</v>
      </c>
    </row>
    <row r="65" spans="1:5" ht="75">
      <c r="A65" t="s">
        <v>549</v>
      </c>
      <c r="B65" s="160" t="s">
        <v>604</v>
      </c>
      <c r="C65" s="160" t="s">
        <v>546</v>
      </c>
      <c r="D65" t="s">
        <v>610</v>
      </c>
      <c r="E65" s="159" t="s">
        <v>600</v>
      </c>
    </row>
    <row r="66" spans="1:5" ht="75">
      <c r="A66" t="s">
        <v>541</v>
      </c>
      <c r="B66" s="160" t="s">
        <v>604</v>
      </c>
      <c r="C66" s="160" t="s">
        <v>546</v>
      </c>
      <c r="D66" t="s">
        <v>610</v>
      </c>
      <c r="E66" s="159" t="s">
        <v>600</v>
      </c>
    </row>
    <row r="67" spans="1:5" ht="75">
      <c r="A67" t="s">
        <v>548</v>
      </c>
      <c r="B67" s="160" t="s">
        <v>604</v>
      </c>
      <c r="C67" s="160" t="s">
        <v>546</v>
      </c>
      <c r="D67" t="s">
        <v>610</v>
      </c>
      <c r="E67" s="159" t="s">
        <v>600</v>
      </c>
    </row>
    <row r="68" spans="1:5" ht="75">
      <c r="A68" t="s">
        <v>560</v>
      </c>
      <c r="B68" s="160" t="s">
        <v>604</v>
      </c>
      <c r="C68" s="160" t="s">
        <v>546</v>
      </c>
      <c r="D68" t="s">
        <v>610</v>
      </c>
      <c r="E68" s="159" t="s">
        <v>600</v>
      </c>
    </row>
    <row r="69" spans="1:5" ht="75">
      <c r="A69" t="s">
        <v>567</v>
      </c>
      <c r="B69" s="160" t="s">
        <v>604</v>
      </c>
      <c r="C69" s="160" t="s">
        <v>546</v>
      </c>
      <c r="D69" t="s">
        <v>610</v>
      </c>
      <c r="E69" s="159" t="s">
        <v>600</v>
      </c>
    </row>
    <row r="70" spans="1:5" ht="75">
      <c r="A70" t="s">
        <v>547</v>
      </c>
      <c r="B70" s="160" t="s">
        <v>604</v>
      </c>
      <c r="C70" s="160" t="s">
        <v>546</v>
      </c>
      <c r="D70" t="s">
        <v>610</v>
      </c>
      <c r="E70" s="159" t="s">
        <v>600</v>
      </c>
    </row>
    <row r="71" spans="1:5" ht="75">
      <c r="A71" t="s">
        <v>576</v>
      </c>
      <c r="B71" s="160" t="s">
        <v>604</v>
      </c>
      <c r="C71" s="160" t="s">
        <v>546</v>
      </c>
      <c r="D71" t="s">
        <v>610</v>
      </c>
      <c r="E71" s="159" t="s">
        <v>600</v>
      </c>
    </row>
    <row r="72" spans="1:5" ht="75">
      <c r="A72" t="s">
        <v>582</v>
      </c>
      <c r="B72" s="160" t="s">
        <v>604</v>
      </c>
      <c r="C72" s="160" t="s">
        <v>546</v>
      </c>
      <c r="D72" t="s">
        <v>610</v>
      </c>
      <c r="E72" s="159" t="s">
        <v>600</v>
      </c>
    </row>
    <row r="73" spans="1:5" ht="75">
      <c r="A73" t="s">
        <v>581</v>
      </c>
      <c r="B73" s="160" t="s">
        <v>604</v>
      </c>
      <c r="C73" s="160" t="s">
        <v>546</v>
      </c>
      <c r="D73" t="s">
        <v>610</v>
      </c>
      <c r="E73" s="159" t="s">
        <v>600</v>
      </c>
    </row>
    <row r="74" spans="1:5" ht="75">
      <c r="A74" t="s">
        <v>585</v>
      </c>
      <c r="B74" s="160" t="s">
        <v>604</v>
      </c>
      <c r="C74" s="160" t="s">
        <v>546</v>
      </c>
      <c r="D74" t="s">
        <v>610</v>
      </c>
      <c r="E74" s="159" t="s">
        <v>600</v>
      </c>
    </row>
    <row r="75" spans="1:5" ht="75">
      <c r="A75" t="s">
        <v>583</v>
      </c>
      <c r="B75" s="160" t="s">
        <v>604</v>
      </c>
      <c r="C75" s="160" t="s">
        <v>546</v>
      </c>
      <c r="D75" t="s">
        <v>610</v>
      </c>
      <c r="E75" s="159" t="s">
        <v>600</v>
      </c>
    </row>
    <row r="76" spans="1:5" ht="75">
      <c r="A76" t="s">
        <v>584</v>
      </c>
      <c r="B76" s="160" t="s">
        <v>604</v>
      </c>
      <c r="C76" s="160" t="s">
        <v>546</v>
      </c>
      <c r="D76" t="s">
        <v>610</v>
      </c>
      <c r="E76" s="159" t="s">
        <v>600</v>
      </c>
    </row>
    <row r="77" spans="1:5" ht="75">
      <c r="A77" t="s">
        <v>543</v>
      </c>
      <c r="B77" s="160" t="s">
        <v>604</v>
      </c>
      <c r="C77" s="160" t="s">
        <v>546</v>
      </c>
      <c r="D77" t="s">
        <v>610</v>
      </c>
      <c r="E77" s="159" t="s">
        <v>600</v>
      </c>
    </row>
  </sheetData>
  <hyperlinks>
    <hyperlink ref="D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8"/>
  <dimension ref="A1:B48"/>
  <sheetViews>
    <sheetView workbookViewId="0">
      <selection activeCell="L15" sqref="L15"/>
    </sheetView>
  </sheetViews>
  <sheetFormatPr defaultRowHeight="15"/>
  <sheetData>
    <row r="1" spans="1:2">
      <c r="A1" t="s">
        <v>444</v>
      </c>
      <c r="B1" t="s">
        <v>195</v>
      </c>
    </row>
    <row r="2" spans="1:2">
      <c r="A2" t="s">
        <v>79</v>
      </c>
      <c r="B2" t="s">
        <v>475</v>
      </c>
    </row>
    <row r="3" spans="1:2">
      <c r="A3" t="s">
        <v>80</v>
      </c>
      <c r="B3" t="s">
        <v>562</v>
      </c>
    </row>
    <row r="4" spans="1:2">
      <c r="A4" t="s">
        <v>81</v>
      </c>
      <c r="B4" t="s">
        <v>563</v>
      </c>
    </row>
    <row r="5" spans="1:2">
      <c r="A5" t="s">
        <v>82</v>
      </c>
      <c r="B5" t="s">
        <v>560</v>
      </c>
    </row>
    <row r="6" spans="1:2">
      <c r="A6" t="s">
        <v>83</v>
      </c>
      <c r="B6" t="s">
        <v>542</v>
      </c>
    </row>
    <row r="7" spans="1:2">
      <c r="A7" t="s">
        <v>84</v>
      </c>
      <c r="B7" t="s">
        <v>565</v>
      </c>
    </row>
    <row r="8" spans="1:2">
      <c r="A8" t="s">
        <v>85</v>
      </c>
      <c r="B8" t="s">
        <v>543</v>
      </c>
    </row>
    <row r="9" spans="1:2">
      <c r="A9" t="s">
        <v>86</v>
      </c>
      <c r="B9" t="s">
        <v>568</v>
      </c>
    </row>
    <row r="10" spans="1:2">
      <c r="A10" t="s">
        <v>87</v>
      </c>
      <c r="B10" t="s">
        <v>539</v>
      </c>
    </row>
    <row r="11" spans="1:2">
      <c r="A11" t="s">
        <v>88</v>
      </c>
      <c r="B11" t="s">
        <v>547</v>
      </c>
    </row>
    <row r="12" spans="1:2">
      <c r="A12" t="s">
        <v>89</v>
      </c>
      <c r="B12" t="s">
        <v>564</v>
      </c>
    </row>
    <row r="13" spans="1:2">
      <c r="A13" t="s">
        <v>90</v>
      </c>
      <c r="B13" t="s">
        <v>622</v>
      </c>
    </row>
    <row r="14" spans="1:2">
      <c r="A14" t="s">
        <v>91</v>
      </c>
      <c r="B14" t="s">
        <v>541</v>
      </c>
    </row>
    <row r="15" spans="1:2">
      <c r="A15" t="s">
        <v>92</v>
      </c>
      <c r="B15" t="s">
        <v>621</v>
      </c>
    </row>
    <row r="16" spans="1:2">
      <c r="A16" t="s">
        <v>93</v>
      </c>
      <c r="B16" t="s">
        <v>567</v>
      </c>
    </row>
    <row r="17" spans="1:2">
      <c r="A17" t="s">
        <v>94</v>
      </c>
      <c r="B17" t="s">
        <v>566</v>
      </c>
    </row>
    <row r="18" spans="1:2">
      <c r="A18" t="s">
        <v>95</v>
      </c>
      <c r="B18" t="s">
        <v>561</v>
      </c>
    </row>
    <row r="19" spans="1:2">
      <c r="A19" t="s">
        <v>96</v>
      </c>
      <c r="B19" t="s">
        <v>540</v>
      </c>
    </row>
    <row r="20" spans="1:2">
      <c r="A20" t="s">
        <v>97</v>
      </c>
      <c r="B20" t="s">
        <v>620</v>
      </c>
    </row>
    <row r="21" spans="1:2">
      <c r="A21" t="s">
        <v>98</v>
      </c>
      <c r="B21" t="s">
        <v>548</v>
      </c>
    </row>
    <row r="22" spans="1:2">
      <c r="A22" t="s">
        <v>99</v>
      </c>
      <c r="B22" t="s">
        <v>559</v>
      </c>
    </row>
    <row r="23" spans="1:2">
      <c r="A23" t="s">
        <v>100</v>
      </c>
      <c r="B23" t="s">
        <v>556</v>
      </c>
    </row>
    <row r="24" spans="1:2">
      <c r="A24" t="s">
        <v>101</v>
      </c>
      <c r="B24" t="s">
        <v>557</v>
      </c>
    </row>
    <row r="25" spans="1:2">
      <c r="A25" t="s">
        <v>102</v>
      </c>
      <c r="B25" t="s">
        <v>551</v>
      </c>
    </row>
    <row r="26" spans="1:2">
      <c r="B26" t="s">
        <v>540</v>
      </c>
    </row>
    <row r="27" spans="1:2">
      <c r="B27" t="s">
        <v>564</v>
      </c>
    </row>
    <row r="28" spans="1:2">
      <c r="B28" t="s">
        <v>620</v>
      </c>
    </row>
    <row r="29" spans="1:2">
      <c r="B29" t="s">
        <v>539</v>
      </c>
    </row>
    <row r="30" spans="1:2">
      <c r="B30" t="s">
        <v>565</v>
      </c>
    </row>
    <row r="31" spans="1:2">
      <c r="B31" t="s">
        <v>562</v>
      </c>
    </row>
    <row r="32" spans="1:2">
      <c r="B32" t="s">
        <v>556</v>
      </c>
    </row>
    <row r="33" spans="2:2">
      <c r="B33" t="s">
        <v>542</v>
      </c>
    </row>
    <row r="34" spans="2:2">
      <c r="B34" t="s">
        <v>560</v>
      </c>
    </row>
    <row r="35" spans="2:2">
      <c r="B35" t="s">
        <v>568</v>
      </c>
    </row>
    <row r="36" spans="2:2">
      <c r="B36" t="s">
        <v>543</v>
      </c>
    </row>
    <row r="37" spans="2:2">
      <c r="B37" t="s">
        <v>559</v>
      </c>
    </row>
    <row r="38" spans="2:2">
      <c r="B38" t="s">
        <v>557</v>
      </c>
    </row>
    <row r="39" spans="2:2">
      <c r="B39" t="s">
        <v>551</v>
      </c>
    </row>
    <row r="40" spans="2:2">
      <c r="B40" t="s">
        <v>563</v>
      </c>
    </row>
    <row r="41" spans="2:2">
      <c r="B41" t="s">
        <v>561</v>
      </c>
    </row>
    <row r="42" spans="2:2">
      <c r="B42" t="s">
        <v>566</v>
      </c>
    </row>
    <row r="43" spans="2:2">
      <c r="B43" t="s">
        <v>567</v>
      </c>
    </row>
    <row r="44" spans="2:2">
      <c r="B44" t="s">
        <v>622</v>
      </c>
    </row>
    <row r="45" spans="2:2">
      <c r="B45" t="s">
        <v>541</v>
      </c>
    </row>
    <row r="46" spans="2:2">
      <c r="B46" t="s">
        <v>621</v>
      </c>
    </row>
    <row r="47" spans="2:2">
      <c r="B47" t="s">
        <v>623</v>
      </c>
    </row>
    <row r="48" spans="2:2">
      <c r="B48" t="s">
        <v>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X31"/>
  <sheetViews>
    <sheetView workbookViewId="0">
      <selection activeCell="E6" sqref="E6:I6"/>
    </sheetView>
  </sheetViews>
  <sheetFormatPr defaultRowHeight="15"/>
  <cols>
    <col min="9" max="9" width="9" bestFit="1" customWidth="1"/>
    <col min="10" max="10" width="11.7109375" bestFit="1" customWidth="1"/>
    <col min="11" max="11" width="11" customWidth="1"/>
    <col min="12" max="14" width="8.42578125" bestFit="1" customWidth="1"/>
    <col min="15" max="15" width="10" bestFit="1" customWidth="1"/>
    <col min="17" max="17" width="12" bestFit="1" customWidth="1"/>
  </cols>
  <sheetData>
    <row r="1" spans="1:20">
      <c r="B1" s="17" t="str">
        <f>Config!C18</f>
        <v>Belgium</v>
      </c>
      <c r="C1" s="17" t="str">
        <f>Config!C19</f>
        <v>Italy</v>
      </c>
      <c r="D1" s="17" t="str">
        <f>Config!C20</f>
        <v>Rep Ireland</v>
      </c>
      <c r="E1" s="17" t="str">
        <f>Config!C21</f>
        <v>Sweden</v>
      </c>
      <c r="K1" t="s">
        <v>173</v>
      </c>
    </row>
    <row r="2" spans="1:20">
      <c r="B2" t="s">
        <v>201</v>
      </c>
      <c r="D2" t="s">
        <v>202</v>
      </c>
      <c r="E2" t="s">
        <v>199</v>
      </c>
      <c r="F2" t="s">
        <v>200</v>
      </c>
      <c r="G2" t="s">
        <v>159</v>
      </c>
      <c r="H2" t="s">
        <v>203</v>
      </c>
      <c r="I2" t="s">
        <v>204</v>
      </c>
      <c r="K2" s="215" t="s">
        <v>160</v>
      </c>
      <c r="L2" s="215"/>
      <c r="M2" s="215"/>
      <c r="N2" s="215"/>
    </row>
    <row r="3" spans="1:20">
      <c r="A3">
        <v>1</v>
      </c>
      <c r="B3" t="str">
        <f>B1</f>
        <v>Belgium</v>
      </c>
      <c r="C3" t="s">
        <v>161</v>
      </c>
      <c r="D3" t="str">
        <f>C1</f>
        <v>Italy</v>
      </c>
      <c r="E3" s="16">
        <f>Wallchart!H22</f>
        <v>0</v>
      </c>
      <c r="F3" s="16">
        <f>Wallchart!I22</f>
        <v>0</v>
      </c>
      <c r="G3" s="17">
        <f>IF(I3=0,0,IF(E3&lt;F3,0,IF(E3&gt;F3,3,1)))</f>
        <v>0</v>
      </c>
      <c r="H3" s="17">
        <f>IF(I3=0,0,IF(F3&lt;E3,0,IF(F3&gt;E3,3,1)))</f>
        <v>0</v>
      </c>
      <c r="I3" s="16">
        <f>IF(ISBLANK(Wallchart!H22)=TRUE,0,IF(ISBLANK(Wallchart!I22)=TRUE,0,1))</f>
        <v>0</v>
      </c>
      <c r="K3" t="str">
        <f>B1</f>
        <v>Belgium</v>
      </c>
      <c r="L3" t="str">
        <f>C1</f>
        <v>Italy</v>
      </c>
      <c r="M3" t="str">
        <f>D1</f>
        <v>Rep Ireland</v>
      </c>
      <c r="N3" t="str">
        <f>E1</f>
        <v>Sweden</v>
      </c>
      <c r="P3" s="5" t="str">
        <f>B1</f>
        <v>Belgium</v>
      </c>
      <c r="Q3" s="5" t="str">
        <f>C1</f>
        <v>Italy</v>
      </c>
      <c r="R3" s="5" t="str">
        <f>D1</f>
        <v>Rep Ireland</v>
      </c>
      <c r="S3" s="5" t="str">
        <f>E1</f>
        <v>Sweden</v>
      </c>
      <c r="T3" s="5" t="s">
        <v>162</v>
      </c>
    </row>
    <row r="4" spans="1:20">
      <c r="A4">
        <v>2</v>
      </c>
      <c r="B4" t="str">
        <f>D1</f>
        <v>Rep Ireland</v>
      </c>
      <c r="C4" t="s">
        <v>161</v>
      </c>
      <c r="D4" t="str">
        <f>E1</f>
        <v>Sweden</v>
      </c>
      <c r="E4" s="16">
        <f>Wallchart!H21</f>
        <v>0</v>
      </c>
      <c r="F4" s="16">
        <f>Wallchart!I21</f>
        <v>0</v>
      </c>
      <c r="G4" s="17">
        <f t="shared" ref="G4:G8" si="0">IF(I4=0,0,IF(E4&lt;F4,0,IF(E4&gt;F4,3,1)))</f>
        <v>0</v>
      </c>
      <c r="H4" s="17">
        <f t="shared" ref="H4:H8" si="1">IF(I4=0,0,IF(F4&lt;E4,0,IF(F4&gt;E4,3,1)))</f>
        <v>0</v>
      </c>
      <c r="I4" s="16">
        <f>IF(ISBLANK(Wallchart!H21)=TRUE,0,IF(ISBLANK(Wallchart!I21)=TRUE,0,1))</f>
        <v>0</v>
      </c>
      <c r="J4" t="str">
        <f>B1</f>
        <v>Belgium</v>
      </c>
      <c r="K4">
        <v>0</v>
      </c>
      <c r="L4">
        <f>E3</f>
        <v>0</v>
      </c>
      <c r="M4">
        <f>E5</f>
        <v>0</v>
      </c>
      <c r="N4">
        <f>F7</f>
        <v>0</v>
      </c>
      <c r="P4">
        <v>0</v>
      </c>
      <c r="Q4">
        <f>IF(N26=N27,L4,0)</f>
        <v>0</v>
      </c>
      <c r="R4">
        <f>IF(N26=N28,M4,0)</f>
        <v>0</v>
      </c>
      <c r="S4">
        <f>IF(N26=N29,N4,0)</f>
        <v>0</v>
      </c>
      <c r="T4">
        <f>SUM(P4:S4)</f>
        <v>0</v>
      </c>
    </row>
    <row r="5" spans="1:20">
      <c r="A5">
        <v>3</v>
      </c>
      <c r="B5" t="str">
        <f>B1</f>
        <v>Belgium</v>
      </c>
      <c r="C5" t="s">
        <v>161</v>
      </c>
      <c r="D5" t="str">
        <f>D1</f>
        <v>Rep Ireland</v>
      </c>
      <c r="E5" s="16">
        <f>Wallchart!H34</f>
        <v>0</v>
      </c>
      <c r="F5" s="16">
        <f>Wallchart!I34</f>
        <v>0</v>
      </c>
      <c r="G5" s="17">
        <f t="shared" si="0"/>
        <v>0</v>
      </c>
      <c r="H5" s="17">
        <f t="shared" si="1"/>
        <v>0</v>
      </c>
      <c r="I5" s="16">
        <f>IF(ISBLANK(Wallchart!H34)=TRUE,0,IF(ISBLANK(Wallchart!I34)=TRUE,0,1))</f>
        <v>0</v>
      </c>
      <c r="J5" t="str">
        <f>C1</f>
        <v>Italy</v>
      </c>
      <c r="K5">
        <f>F3</f>
        <v>0</v>
      </c>
      <c r="L5">
        <v>0</v>
      </c>
      <c r="M5">
        <f>F8</f>
        <v>0</v>
      </c>
      <c r="N5">
        <f>E6</f>
        <v>0</v>
      </c>
      <c r="P5">
        <f>IF(N27=N26,K5,0)</f>
        <v>0</v>
      </c>
      <c r="Q5">
        <v>0</v>
      </c>
      <c r="R5">
        <f>IF(N27=N28,M5,0)</f>
        <v>0</v>
      </c>
      <c r="S5">
        <f>IF(N27=N29,N5,0)</f>
        <v>0</v>
      </c>
      <c r="T5">
        <f>SUM(P5:S5)</f>
        <v>0</v>
      </c>
    </row>
    <row r="6" spans="1:20">
      <c r="A6">
        <v>4</v>
      </c>
      <c r="B6" t="str">
        <f>C1</f>
        <v>Italy</v>
      </c>
      <c r="C6" t="s">
        <v>161</v>
      </c>
      <c r="D6" t="str">
        <f>E1</f>
        <v>Sweden</v>
      </c>
      <c r="E6" s="16">
        <f>Wallchart!H31</f>
        <v>0</v>
      </c>
      <c r="F6" s="16">
        <f>Wallchart!I31</f>
        <v>0</v>
      </c>
      <c r="G6" s="17">
        <f t="shared" si="0"/>
        <v>0</v>
      </c>
      <c r="H6" s="17">
        <f t="shared" si="1"/>
        <v>0</v>
      </c>
      <c r="I6" s="16">
        <f>IF(ISBLANK(Wallchart!H31)=TRUE,0,IF(ISBLANK(Wallchart!I31)=TRUE,0,1))</f>
        <v>0</v>
      </c>
      <c r="J6" t="str">
        <f>D1</f>
        <v>Rep Ireland</v>
      </c>
      <c r="K6">
        <f>F5</f>
        <v>0</v>
      </c>
      <c r="L6">
        <f>E8</f>
        <v>0</v>
      </c>
      <c r="M6">
        <v>0</v>
      </c>
      <c r="N6">
        <f>E4</f>
        <v>0</v>
      </c>
      <c r="P6">
        <f>IF(N28=N26,K6,0)</f>
        <v>0</v>
      </c>
      <c r="Q6">
        <f>IF(N28=N27,L6,0)</f>
        <v>0</v>
      </c>
      <c r="R6">
        <v>0</v>
      </c>
      <c r="S6">
        <f>IF(N28=N29,N6,0)</f>
        <v>0</v>
      </c>
      <c r="T6">
        <f>SUM(P6:S6)</f>
        <v>0</v>
      </c>
    </row>
    <row r="7" spans="1:20">
      <c r="A7">
        <v>5</v>
      </c>
      <c r="B7" t="str">
        <f>E1</f>
        <v>Sweden</v>
      </c>
      <c r="C7" t="s">
        <v>161</v>
      </c>
      <c r="D7" t="str">
        <f>B1</f>
        <v>Belgium</v>
      </c>
      <c r="E7" s="16">
        <f>Wallchart!H48</f>
        <v>0</v>
      </c>
      <c r="F7" s="16">
        <f>Wallchart!I48</f>
        <v>0</v>
      </c>
      <c r="G7" s="17">
        <f t="shared" si="0"/>
        <v>0</v>
      </c>
      <c r="H7" s="17">
        <f t="shared" si="1"/>
        <v>0</v>
      </c>
      <c r="I7" s="16">
        <f>IF(ISBLANK(Wallchart!H48)=TRUE,0,IF(ISBLANK(Wallchart!I48)=TRUE,0,1))</f>
        <v>0</v>
      </c>
      <c r="J7" t="str">
        <f>E1</f>
        <v>Sweden</v>
      </c>
      <c r="K7">
        <f>E7</f>
        <v>0</v>
      </c>
      <c r="L7">
        <f>F6</f>
        <v>0</v>
      </c>
      <c r="M7">
        <f>F4</f>
        <v>0</v>
      </c>
      <c r="N7">
        <v>0</v>
      </c>
      <c r="P7">
        <f>IF(N29=N26,K7,0)</f>
        <v>0</v>
      </c>
      <c r="Q7">
        <f>IF(N29=N27,L7,0)</f>
        <v>0</v>
      </c>
      <c r="R7">
        <f>IF(N29=N28,M7,0)</f>
        <v>0</v>
      </c>
      <c r="S7">
        <v>0</v>
      </c>
      <c r="T7">
        <f>SUM(P7:S7)</f>
        <v>0</v>
      </c>
    </row>
    <row r="8" spans="1:20">
      <c r="A8">
        <v>6</v>
      </c>
      <c r="B8" t="str">
        <f>D1</f>
        <v>Rep Ireland</v>
      </c>
      <c r="C8" t="s">
        <v>161</v>
      </c>
      <c r="D8" t="str">
        <f>C1</f>
        <v>Italy</v>
      </c>
      <c r="E8" s="16">
        <f>Wallchart!I47</f>
        <v>0</v>
      </c>
      <c r="F8" s="16">
        <f>Wallchart!H47</f>
        <v>0</v>
      </c>
      <c r="G8" s="17">
        <f t="shared" si="0"/>
        <v>0</v>
      </c>
      <c r="H8" s="17">
        <f t="shared" si="1"/>
        <v>0</v>
      </c>
      <c r="I8" s="16">
        <f>IF(ISBLANK(Wallchart!H47)=TRUE,0,IF(ISBLANK(Wallchart!I47)=TRUE,0,1))</f>
        <v>0</v>
      </c>
    </row>
    <row r="9" spans="1:20">
      <c r="I9" s="20"/>
      <c r="K9" t="s">
        <v>174</v>
      </c>
    </row>
    <row r="10" spans="1:20" ht="15.75" thickBot="1">
      <c r="K10" t="str">
        <f>B1</f>
        <v>Belgium</v>
      </c>
      <c r="L10" t="str">
        <f>C1</f>
        <v>Italy</v>
      </c>
      <c r="M10" t="str">
        <f>D1</f>
        <v>Rep Ireland</v>
      </c>
      <c r="N10" t="str">
        <f>E1</f>
        <v>Sweden</v>
      </c>
      <c r="P10" s="5" t="str">
        <f>B1</f>
        <v>Belgium</v>
      </c>
      <c r="Q10" s="5" t="str">
        <f>C1</f>
        <v>Italy</v>
      </c>
      <c r="R10" s="5" t="str">
        <f>D1</f>
        <v>Rep Ireland</v>
      </c>
      <c r="S10" s="5" t="str">
        <f>E1</f>
        <v>Sweden</v>
      </c>
      <c r="T10" s="5" t="s">
        <v>162</v>
      </c>
    </row>
    <row r="11" spans="1:20">
      <c r="B11" s="9" t="s">
        <v>196</v>
      </c>
      <c r="C11" s="10" t="s">
        <v>195</v>
      </c>
      <c r="D11" s="11" t="s">
        <v>163</v>
      </c>
      <c r="E11" s="11" t="s">
        <v>157</v>
      </c>
      <c r="F11" s="11" t="s">
        <v>164</v>
      </c>
      <c r="G11" s="11" t="s">
        <v>165</v>
      </c>
      <c r="H11" s="11" t="s">
        <v>156</v>
      </c>
      <c r="I11" s="18" t="s">
        <v>198</v>
      </c>
      <c r="J11" t="str">
        <f>B1</f>
        <v>Belgium</v>
      </c>
      <c r="K11">
        <v>0</v>
      </c>
      <c r="L11">
        <f>L4-K5</f>
        <v>0</v>
      </c>
      <c r="M11">
        <f>M4-K6</f>
        <v>0</v>
      </c>
      <c r="N11">
        <f>N4-K7</f>
        <v>0</v>
      </c>
      <c r="P11">
        <v>0</v>
      </c>
      <c r="Q11">
        <f>IF(L26=L27,L11,0)</f>
        <v>0</v>
      </c>
      <c r="R11">
        <f>IF(L26=L28,M11,0)</f>
        <v>0</v>
      </c>
      <c r="S11">
        <f>IF(L26=L29,N11,0)</f>
        <v>0</v>
      </c>
      <c r="T11">
        <f>SUM(P11:S11)</f>
        <v>0</v>
      </c>
    </row>
    <row r="12" spans="1:20">
      <c r="B12" s="12">
        <v>1</v>
      </c>
      <c r="C12" s="13" t="str">
        <f>IF(S$26=1,A$26,IF(S$27=1,A$27,IF(S$28=1,A$28,A$29)))</f>
        <v>Belgium</v>
      </c>
      <c r="D12" s="13">
        <f>IF(S$26=1,B$26,IF(S$27=1,B$27,IF(S$28=1,B$28,B$29)))</f>
        <v>0</v>
      </c>
      <c r="E12" s="13">
        <f>IF(S$26=1,C$26,IF(S$27=1,C$27,IF(S$28=1,C$28,C$29)))</f>
        <v>0</v>
      </c>
      <c r="F12" s="13">
        <f>IF(S$26=1,D$26,IF(S$27=1,D$27,IF(S$28=1,D$28,D$29)))</f>
        <v>0</v>
      </c>
      <c r="G12" s="13">
        <f>IF(S$26=1,E$26,IF(S$27=1,E$27,IF(S$28=1,E$28,E$29)))</f>
        <v>0</v>
      </c>
      <c r="H12" s="13">
        <f>IF(S$26=1,T$26,IF(S$27=1,T$27,IF(S$28=1,T$28,T$29)))</f>
        <v>0</v>
      </c>
      <c r="I12" s="21"/>
      <c r="J12" t="str">
        <f>C1</f>
        <v>Italy</v>
      </c>
      <c r="K12">
        <f>K5-L4</f>
        <v>0</v>
      </c>
      <c r="L12">
        <v>0</v>
      </c>
      <c r="M12">
        <f>M5-L6</f>
        <v>0</v>
      </c>
      <c r="N12">
        <f>N5-L7</f>
        <v>0</v>
      </c>
      <c r="P12">
        <f>IF(L27=L26,K12,0)</f>
        <v>0</v>
      </c>
      <c r="Q12">
        <v>0</v>
      </c>
      <c r="R12">
        <f>IF(L27=L28,M12,0)</f>
        <v>0</v>
      </c>
      <c r="S12">
        <f>IF(L27=L29,N12,0)</f>
        <v>0</v>
      </c>
      <c r="T12">
        <f>SUM(P12:S12)</f>
        <v>0</v>
      </c>
    </row>
    <row r="13" spans="1:20">
      <c r="B13" s="12">
        <v>2</v>
      </c>
      <c r="C13" s="13" t="str">
        <f>IF(S$26=2,A$26,IF(S$27=2,A$27,IF(S$28=2,A$28,A$29)))</f>
        <v>Italy</v>
      </c>
      <c r="D13" s="13">
        <f>IF(S$26=2,B$26,IF(S$27=2,B$27,IF(S$28=2,B$28,B$29)))</f>
        <v>0</v>
      </c>
      <c r="E13" s="13">
        <f>IF(S$26=2,C$26,IF(S$27=2,C$27,IF(S$28=2,C$28,C$29)))</f>
        <v>0</v>
      </c>
      <c r="F13" s="13">
        <f>IF(S$26=2,D$26,IF(S$27=2,D$27,IF(S$28=2,D$28,D$29)))</f>
        <v>0</v>
      </c>
      <c r="G13" s="13">
        <f>IF(S$26=2,E$26,IF(S$27=2,E$27,IF(S$28=2,E$28,E$29)))</f>
        <v>0</v>
      </c>
      <c r="H13" s="13">
        <f>IF(S$26=2,T$26,IF(S$27=2,T$27,IF(S$28=2,T$28,T$29)))</f>
        <v>0</v>
      </c>
      <c r="I13" s="21"/>
      <c r="J13" t="str">
        <f>D1</f>
        <v>Rep Ireland</v>
      </c>
      <c r="K13">
        <f>K6-M4</f>
        <v>0</v>
      </c>
      <c r="L13">
        <f>L6-M5</f>
        <v>0</v>
      </c>
      <c r="M13">
        <v>0</v>
      </c>
      <c r="N13">
        <f>N6-M7</f>
        <v>0</v>
      </c>
      <c r="P13">
        <f>IF(L28=L26,K13,0)</f>
        <v>0</v>
      </c>
      <c r="Q13">
        <f>IF(L28=L27,L13,0)</f>
        <v>0</v>
      </c>
      <c r="R13">
        <v>0</v>
      </c>
      <c r="S13">
        <f>IF(L28=L29,N13,0)</f>
        <v>0</v>
      </c>
      <c r="T13">
        <f>SUM(P13:S13)</f>
        <v>0</v>
      </c>
    </row>
    <row r="14" spans="1:20">
      <c r="B14" s="12">
        <v>3</v>
      </c>
      <c r="C14" s="13" t="str">
        <f>IF(S$26=3,A$26,IF(S$27=3,A$27,IF(S$28=3,A$28,A$29)))</f>
        <v>Rep Ireland</v>
      </c>
      <c r="D14" s="13">
        <f>IF(S$26=3,B$26,IF(S$27=3,B$27,IF(S$28=3,B$28,B$29)))</f>
        <v>0</v>
      </c>
      <c r="E14" s="13">
        <f>IF(S$26=3,C$26,IF(S$27=3,C$27,IF(S$28=3,C$28,C$29)))</f>
        <v>0</v>
      </c>
      <c r="F14" s="13">
        <f>IF(S$26=3,D$26,IF(S$27=3,D$27,IF(S$28=3,D$28,D$29)))</f>
        <v>0</v>
      </c>
      <c r="G14" s="13">
        <f>IF(S$26=3,E$26,IF(S$27=3,E$27,IF(S$28=3,E$28,E$29)))</f>
        <v>0</v>
      </c>
      <c r="H14" s="13">
        <f>IF(S$26=3,T$26,IF(S$27=3,T$27,IF(S$28=3,T$28,T$29)))</f>
        <v>0</v>
      </c>
      <c r="I14" s="21"/>
      <c r="J14" t="str">
        <f>E1</f>
        <v>Sweden</v>
      </c>
      <c r="K14">
        <f>K7-N4</f>
        <v>0</v>
      </c>
      <c r="L14">
        <f>L7-N5</f>
        <v>0</v>
      </c>
      <c r="M14">
        <f>M7-N6</f>
        <v>0</v>
      </c>
      <c r="N14">
        <v>0</v>
      </c>
      <c r="P14">
        <f>IF(L29=L26,K14,0)</f>
        <v>0</v>
      </c>
      <c r="Q14">
        <f>IF(L29=L27,L14,0)</f>
        <v>0</v>
      </c>
      <c r="R14">
        <f>IF(L29=L28,M14,0)</f>
        <v>0</v>
      </c>
      <c r="S14">
        <v>0</v>
      </c>
      <c r="T14">
        <f>SUM(P14:S14)</f>
        <v>0</v>
      </c>
    </row>
    <row r="15" spans="1:20" ht="15.75" thickBot="1">
      <c r="B15" s="14">
        <v>4</v>
      </c>
      <c r="C15" s="15" t="str">
        <f>IF(S$26=4,A$26,IF(S$27=4,A$27,IF(S$28=4,A$28,A$29)))</f>
        <v>Sweden</v>
      </c>
      <c r="D15" s="15">
        <f>IF(S$26=4,B$26,IF(S$27=4,B$27,IF(S$28=4,B$28,B$29)))</f>
        <v>0</v>
      </c>
      <c r="E15" s="15">
        <f>IF(S$26=4,C$26,IF(S$27=4,C$27,IF(S$28=4,C$28,C$29)))</f>
        <v>0</v>
      </c>
      <c r="F15" s="15">
        <f>IF(S$26=4,D$26,IF(S$27=4,D$27,IF(S$28=4,D$28,D$29)))</f>
        <v>0</v>
      </c>
      <c r="G15" s="15">
        <f>IF(S$26=4,E$26,IF(S$27=4,E$27,IF(S$28=4,E$28,E$29)))</f>
        <v>0</v>
      </c>
      <c r="H15" s="15">
        <f>IF(S$26=4,T$26,IF(S$27=4,T$27,IF(S$28=4,T$28,T$29)))</f>
        <v>0</v>
      </c>
      <c r="I15" s="21"/>
    </row>
    <row r="16" spans="1:20" ht="15.75" thickBot="1">
      <c r="I16" s="19" t="str">
        <f>IF(SUM(I3:I8)=6,IF(GrpE!W28&gt;0,IF(I12=I13,"Duplicate",IF(I12=I14,"Duplicate",IF(I12=I15,"Duplicate",IF(I13=I14,"Duplicate",IF(I13=I15,"Duplcate",IF(I14=I15,"Duplicate","")))))),""),"")</f>
        <v/>
      </c>
      <c r="K16" t="s">
        <v>175</v>
      </c>
    </row>
    <row r="17" spans="1:24">
      <c r="K17" t="str">
        <f>B1</f>
        <v>Belgium</v>
      </c>
      <c r="L17" t="str">
        <f>C1</f>
        <v>Italy</v>
      </c>
      <c r="M17" t="str">
        <f>D1</f>
        <v>Rep Ireland</v>
      </c>
      <c r="N17" t="str">
        <f>E1</f>
        <v>Sweden</v>
      </c>
      <c r="P17" s="5" t="str">
        <f>B1</f>
        <v>Belgium</v>
      </c>
      <c r="Q17" s="5" t="str">
        <f>C1</f>
        <v>Italy</v>
      </c>
      <c r="R17" s="5" t="str">
        <f>D1</f>
        <v>Rep Ireland</v>
      </c>
      <c r="S17" s="5" t="str">
        <f>E1</f>
        <v>Sweden</v>
      </c>
      <c r="T17" s="5" t="s">
        <v>162</v>
      </c>
    </row>
    <row r="18" spans="1:24">
      <c r="J18" t="str">
        <f>B1</f>
        <v>Belgium</v>
      </c>
      <c r="K18">
        <v>0</v>
      </c>
      <c r="L18">
        <f>IF(L11&lt;0,0,IF(L11&gt;0,3,1))</f>
        <v>1</v>
      </c>
      <c r="M18">
        <f>IF(M11&lt;0,0,IF(M11&gt;0,3,1))</f>
        <v>1</v>
      </c>
      <c r="N18">
        <f>IF(N11&lt;0,0,IF(N11&gt;0,3,1))</f>
        <v>1</v>
      </c>
      <c r="P18">
        <v>0</v>
      </c>
      <c r="Q18">
        <f>IF(J26=J27,L18,0)</f>
        <v>1</v>
      </c>
      <c r="R18">
        <f>IF(J26=J28,M18,0)</f>
        <v>1</v>
      </c>
      <c r="S18">
        <f>IF(J26=J29,N18,0)</f>
        <v>1</v>
      </c>
      <c r="T18">
        <f>SUM(P18:S18)</f>
        <v>3</v>
      </c>
    </row>
    <row r="19" spans="1:24">
      <c r="J19" t="str">
        <f>C1</f>
        <v>Italy</v>
      </c>
      <c r="K19">
        <f>IF(K12&lt;0,0,IF(K12&gt;0,3,1))</f>
        <v>1</v>
      </c>
      <c r="L19">
        <v>0</v>
      </c>
      <c r="M19">
        <f>IF(M12&lt;0,0,IF(M12&gt;0,3,1))</f>
        <v>1</v>
      </c>
      <c r="N19">
        <f>IF(N12&lt;0,0,IF(N12&gt;0,3,1))</f>
        <v>1</v>
      </c>
      <c r="P19">
        <f>IF(J27=J26,K19,0)</f>
        <v>1</v>
      </c>
      <c r="Q19">
        <v>0</v>
      </c>
      <c r="R19">
        <f>IF(J27=J28,M19,0)</f>
        <v>1</v>
      </c>
      <c r="S19">
        <f>IF(J27=J29,N19,0)</f>
        <v>1</v>
      </c>
      <c r="T19">
        <f>SUM(P19:S19)</f>
        <v>3</v>
      </c>
    </row>
    <row r="20" spans="1:24">
      <c r="J20" t="str">
        <f>D1</f>
        <v>Rep Ireland</v>
      </c>
      <c r="K20">
        <f>IF(K13&lt;0,0,IF(K13&gt;0,3,1))</f>
        <v>1</v>
      </c>
      <c r="L20">
        <f>IF(L13&lt;0,0,IF(L13&gt;0,3,1))</f>
        <v>1</v>
      </c>
      <c r="M20">
        <v>0</v>
      </c>
      <c r="N20">
        <f>IF(N13&lt;0,0,IF(N13&gt;0,3,1))</f>
        <v>1</v>
      </c>
      <c r="P20">
        <f>IF(J28=J26,K20,0)</f>
        <v>1</v>
      </c>
      <c r="Q20">
        <f>IF(J28=J27,L20,0)</f>
        <v>1</v>
      </c>
      <c r="R20">
        <v>0</v>
      </c>
      <c r="S20">
        <f>IF(J28=J29,N20,0)</f>
        <v>1</v>
      </c>
      <c r="T20">
        <f>SUM(P20:S20)</f>
        <v>3</v>
      </c>
    </row>
    <row r="21" spans="1:24">
      <c r="J21" t="str">
        <f>E1</f>
        <v>Sweden</v>
      </c>
      <c r="K21">
        <f>IF(K14&lt;0,0,IF(K14&gt;0,3,1))</f>
        <v>1</v>
      </c>
      <c r="L21">
        <f>IF(L14&lt;0,0,IF(L14&gt;0,3,1))</f>
        <v>1</v>
      </c>
      <c r="M21">
        <f>IF(M14&lt;0,0,IF(M14&gt;0,3,1))</f>
        <v>1</v>
      </c>
      <c r="N21">
        <v>0</v>
      </c>
      <c r="P21">
        <f>IF(J29=J26,K21,0)</f>
        <v>1</v>
      </c>
      <c r="Q21">
        <f>IF(J29=J27,L21,0)</f>
        <v>1</v>
      </c>
      <c r="R21">
        <f>IF(J29=J28,M21,0)</f>
        <v>1</v>
      </c>
      <c r="S21">
        <v>0</v>
      </c>
      <c r="T21">
        <f>SUM(P21:S21)</f>
        <v>3</v>
      </c>
    </row>
    <row r="23" spans="1:24">
      <c r="A23" t="s">
        <v>64</v>
      </c>
      <c r="B23" t="s">
        <v>63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70</v>
      </c>
      <c r="I23" t="s">
        <v>177</v>
      </c>
      <c r="J23" t="s">
        <v>178</v>
      </c>
      <c r="K23" t="s">
        <v>179</v>
      </c>
      <c r="L23" t="s">
        <v>180</v>
      </c>
      <c r="M23" t="s">
        <v>181</v>
      </c>
      <c r="N23" t="s">
        <v>182</v>
      </c>
      <c r="O23" t="s">
        <v>183</v>
      </c>
      <c r="P23" t="s">
        <v>184</v>
      </c>
      <c r="Q23" t="s">
        <v>185</v>
      </c>
      <c r="R23" t="s">
        <v>186</v>
      </c>
      <c r="S23" t="s">
        <v>187</v>
      </c>
      <c r="T23" t="s">
        <v>188</v>
      </c>
    </row>
    <row r="24" spans="1:24">
      <c r="F24" s="8" t="s">
        <v>156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4" ht="188.25">
      <c r="A25" s="7" t="s">
        <v>195</v>
      </c>
      <c r="B25" t="s">
        <v>163</v>
      </c>
      <c r="C25" t="s">
        <v>157</v>
      </c>
      <c r="D25" t="s">
        <v>164</v>
      </c>
      <c r="E25" t="s">
        <v>165</v>
      </c>
      <c r="F25" s="6" t="s">
        <v>166</v>
      </c>
      <c r="G25" s="7" t="s">
        <v>167</v>
      </c>
      <c r="H25" s="7" t="s">
        <v>189</v>
      </c>
      <c r="I25" s="7" t="s">
        <v>168</v>
      </c>
      <c r="J25" s="7" t="s">
        <v>190</v>
      </c>
      <c r="K25" s="7" t="s">
        <v>169</v>
      </c>
      <c r="L25" s="7" t="s">
        <v>191</v>
      </c>
      <c r="M25" s="7" t="s">
        <v>170</v>
      </c>
      <c r="N25" s="7" t="s">
        <v>192</v>
      </c>
      <c r="O25" s="7" t="s">
        <v>172</v>
      </c>
      <c r="P25" s="7" t="s">
        <v>193</v>
      </c>
      <c r="Q25" s="7" t="s">
        <v>171</v>
      </c>
      <c r="R25" s="7" t="s">
        <v>194</v>
      </c>
      <c r="S25" s="7" t="s">
        <v>197</v>
      </c>
      <c r="T25" s="7" t="s">
        <v>176</v>
      </c>
      <c r="U25" s="7" t="s">
        <v>206</v>
      </c>
      <c r="V25" s="7" t="s">
        <v>207</v>
      </c>
      <c r="W25" s="7" t="s">
        <v>205</v>
      </c>
    </row>
    <row r="26" spans="1:24">
      <c r="A26" t="str">
        <f>B1</f>
        <v>Belgium</v>
      </c>
      <c r="B26">
        <f>I3+I5+I7</f>
        <v>0</v>
      </c>
      <c r="C26">
        <f>E3+E5+F7</f>
        <v>0</v>
      </c>
      <c r="D26">
        <f>F3+F5+E7</f>
        <v>0</v>
      </c>
      <c r="E26">
        <f>C26-D26</f>
        <v>0</v>
      </c>
      <c r="F26">
        <f>G3+G5+H7</f>
        <v>0</v>
      </c>
      <c r="G26">
        <f>E26/100</f>
        <v>0</v>
      </c>
      <c r="H26">
        <f>F26+G26</f>
        <v>0</v>
      </c>
      <c r="I26">
        <f>C26/10000</f>
        <v>0</v>
      </c>
      <c r="J26">
        <f>H26+I26</f>
        <v>0</v>
      </c>
      <c r="K26">
        <f>T18/100000</f>
        <v>3.0000000000000001E-5</v>
      </c>
      <c r="L26">
        <f>J26+K26</f>
        <v>3.0000000000000001E-5</v>
      </c>
      <c r="M26">
        <f>T11/1000000</f>
        <v>0</v>
      </c>
      <c r="N26">
        <f>L26+M26</f>
        <v>3.0000000000000001E-5</v>
      </c>
      <c r="O26">
        <f>T4/10000000</f>
        <v>0</v>
      </c>
      <c r="P26">
        <f>N26+O26</f>
        <v>3.0000000000000001E-5</v>
      </c>
      <c r="Q26" s="17">
        <f>IF(W28&gt;0,IF(A26=GrpE!I12,0.00000004,IF(A26=GrpE!I13,0.00000003,IF(A26=GrpE!I14,0.00000002,0.00000001))),0)</f>
        <v>0</v>
      </c>
      <c r="R26">
        <f>Q26+P26+0.000000004</f>
        <v>3.0003999999999999E-5</v>
      </c>
      <c r="S26">
        <f>RANK(R26,R$26:R$29)</f>
        <v>1</v>
      </c>
      <c r="T26">
        <f>ROUND(R26,0)</f>
        <v>0</v>
      </c>
      <c r="U26">
        <f>P26</f>
        <v>3.0000000000000001E-5</v>
      </c>
      <c r="V26">
        <f>RANK(P26,U$26:U$29)</f>
        <v>1</v>
      </c>
      <c r="W26">
        <f>COUNTIF(V26:V29,1)-1</f>
        <v>3</v>
      </c>
      <c r="X26" t="str">
        <f>IF(W$28&gt;0,A26,"")</f>
        <v/>
      </c>
    </row>
    <row r="27" spans="1:24">
      <c r="A27" t="str">
        <f>C1</f>
        <v>Italy</v>
      </c>
      <c r="B27">
        <f>I3+I6+I8</f>
        <v>0</v>
      </c>
      <c r="C27">
        <f>F3+E6+F8</f>
        <v>0</v>
      </c>
      <c r="D27">
        <f>E3+F6+E8</f>
        <v>0</v>
      </c>
      <c r="E27">
        <f>C27-D27</f>
        <v>0</v>
      </c>
      <c r="F27">
        <f>H3+G6+H8</f>
        <v>0</v>
      </c>
      <c r="G27">
        <f>E27/100</f>
        <v>0</v>
      </c>
      <c r="H27">
        <f>F27+G27</f>
        <v>0</v>
      </c>
      <c r="I27">
        <f>C27/10000</f>
        <v>0</v>
      </c>
      <c r="J27">
        <f>H27+I27</f>
        <v>0</v>
      </c>
      <c r="K27">
        <f>T19/100000</f>
        <v>3.0000000000000001E-5</v>
      </c>
      <c r="L27">
        <f>J27+K27</f>
        <v>3.0000000000000001E-5</v>
      </c>
      <c r="M27">
        <f>T12/1000000</f>
        <v>0</v>
      </c>
      <c r="N27">
        <f>L27+M27</f>
        <v>3.0000000000000001E-5</v>
      </c>
      <c r="O27">
        <f>T5/10000000</f>
        <v>0</v>
      </c>
      <c r="P27">
        <f>N27+O27</f>
        <v>3.0000000000000001E-5</v>
      </c>
      <c r="Q27" s="17">
        <f>IF(W28&gt;0,IF(A27=GrpE!I12,0.00000004,IF(A27=GrpE!I13,0.00000003,IF(A27=GrpE!I14,0.00000002,0.00000001))),0)</f>
        <v>0</v>
      </c>
      <c r="R27">
        <f>Q27+P27+0.000000003</f>
        <v>3.0003000000000001E-5</v>
      </c>
      <c r="S27">
        <f>RANK(R27,R$26:R$29)</f>
        <v>2</v>
      </c>
      <c r="T27">
        <f>ROUND(R27,0)</f>
        <v>0</v>
      </c>
      <c r="U27">
        <f>P27</f>
        <v>3.0000000000000001E-5</v>
      </c>
      <c r="V27">
        <f>RANK(U27,U$26:U$29)</f>
        <v>1</v>
      </c>
      <c r="W27">
        <f>MAX(0,COUNTIF(V26:V29,2)-1)</f>
        <v>0</v>
      </c>
      <c r="X27" t="str">
        <f>IF(W$28&gt;0,A27,"")</f>
        <v/>
      </c>
    </row>
    <row r="28" spans="1:24">
      <c r="A28" t="str">
        <f>D1</f>
        <v>Rep Ireland</v>
      </c>
      <c r="B28">
        <f>I4+I5+I8</f>
        <v>0</v>
      </c>
      <c r="C28">
        <f>E4+F5+E8</f>
        <v>0</v>
      </c>
      <c r="D28">
        <f>F4+E5+F8</f>
        <v>0</v>
      </c>
      <c r="E28">
        <f>C28-D28</f>
        <v>0</v>
      </c>
      <c r="F28">
        <f>G4+H5+G8</f>
        <v>0</v>
      </c>
      <c r="G28">
        <f>E28/100</f>
        <v>0</v>
      </c>
      <c r="H28">
        <f>F28+G28</f>
        <v>0</v>
      </c>
      <c r="I28">
        <f>C28/10000</f>
        <v>0</v>
      </c>
      <c r="J28">
        <f>H28+I28</f>
        <v>0</v>
      </c>
      <c r="K28">
        <f>T20/100000</f>
        <v>3.0000000000000001E-5</v>
      </c>
      <c r="L28">
        <f>J28+K28</f>
        <v>3.0000000000000001E-5</v>
      </c>
      <c r="M28">
        <f>T13/1000000</f>
        <v>0</v>
      </c>
      <c r="N28">
        <f>L28+M28</f>
        <v>3.0000000000000001E-5</v>
      </c>
      <c r="O28">
        <f>T6/10000000</f>
        <v>0</v>
      </c>
      <c r="P28">
        <f>N28+O28</f>
        <v>3.0000000000000001E-5</v>
      </c>
      <c r="Q28" s="17">
        <f>IF(W28&gt;0,IF(A28=GrpE!I12,0.00000004,IF(A28=GrpE!I13,0.00000003,IF(A28=GrpE!I14,0.00000002,0.00000001))),0)</f>
        <v>0</v>
      </c>
      <c r="R28">
        <f>Q28+P28+0.000000002</f>
        <v>3.0002000000000002E-5</v>
      </c>
      <c r="S28">
        <f>RANK(R28,R$26:R$29)</f>
        <v>3</v>
      </c>
      <c r="T28">
        <f>ROUND(R28,0)</f>
        <v>0</v>
      </c>
      <c r="U28">
        <f>P28</f>
        <v>3.0000000000000001E-5</v>
      </c>
      <c r="V28">
        <f>RANK(U28,U$26:U$29)</f>
        <v>1</v>
      </c>
      <c r="W28">
        <f>IF(SUM(I3:I8)=6,SUM(W26:W27),0)</f>
        <v>0</v>
      </c>
      <c r="X28" t="str">
        <f>IF(W$28&gt;0,A28,"")</f>
        <v/>
      </c>
    </row>
    <row r="29" spans="1:24">
      <c r="A29" t="str">
        <f>E1</f>
        <v>Sweden</v>
      </c>
      <c r="B29">
        <f>I4+I6+I7</f>
        <v>0</v>
      </c>
      <c r="C29">
        <f>F4+F6+E7</f>
        <v>0</v>
      </c>
      <c r="D29">
        <f>E4+E6+F7</f>
        <v>0</v>
      </c>
      <c r="E29">
        <f>C29-D29</f>
        <v>0</v>
      </c>
      <c r="F29">
        <f>H4+H6+G7</f>
        <v>0</v>
      </c>
      <c r="G29">
        <f>E29/100</f>
        <v>0</v>
      </c>
      <c r="H29">
        <f>F29+G29</f>
        <v>0</v>
      </c>
      <c r="I29">
        <f>C29/10000</f>
        <v>0</v>
      </c>
      <c r="J29">
        <f>H29+I29</f>
        <v>0</v>
      </c>
      <c r="K29">
        <f>T21/100000</f>
        <v>3.0000000000000001E-5</v>
      </c>
      <c r="L29">
        <f>J29+K29</f>
        <v>3.0000000000000001E-5</v>
      </c>
      <c r="M29">
        <f>T14/1000000</f>
        <v>0</v>
      </c>
      <c r="N29">
        <f>L29+M29</f>
        <v>3.0000000000000001E-5</v>
      </c>
      <c r="O29">
        <f>T7/10000000</f>
        <v>0</v>
      </c>
      <c r="P29">
        <f>N29+O29</f>
        <v>3.0000000000000001E-5</v>
      </c>
      <c r="Q29" s="17">
        <f>IF(W28&gt;0,IF(A29=GrpE!I12,0.00000004,IF(A29=GrpE!I13,0.00000003,IF(A29=GrpE!I14,0.00000002,0.00000001))),0)</f>
        <v>0</v>
      </c>
      <c r="R29">
        <f>Q29+P29+0.000000001</f>
        <v>3.0001E-5</v>
      </c>
      <c r="S29">
        <f>RANK(R29,R$26:R$29)</f>
        <v>4</v>
      </c>
      <c r="T29">
        <f>ROUND(R29,0)</f>
        <v>0</v>
      </c>
      <c r="U29">
        <f>P29</f>
        <v>3.0000000000000001E-5</v>
      </c>
      <c r="V29">
        <f>RANK(U29,U$26:U$29)</f>
        <v>1</v>
      </c>
      <c r="X29" t="str">
        <f>IF(W$28&gt;0,A29,"")</f>
        <v/>
      </c>
    </row>
    <row r="31" spans="1:24">
      <c r="A31" t="str">
        <f t="shared" ref="A31:E31" si="2">A23</f>
        <v>A</v>
      </c>
      <c r="B31" t="str">
        <f t="shared" si="2"/>
        <v>B</v>
      </c>
      <c r="C31" t="str">
        <f t="shared" si="2"/>
        <v>C</v>
      </c>
      <c r="D31" t="str">
        <f t="shared" si="2"/>
        <v>D</v>
      </c>
      <c r="E31" t="str">
        <f t="shared" si="2"/>
        <v>E</v>
      </c>
      <c r="F31" t="str">
        <f>F23</f>
        <v>F</v>
      </c>
      <c r="G31" t="str">
        <f t="shared" ref="G31:T31" si="3">G23</f>
        <v>G</v>
      </c>
      <c r="H31" t="str">
        <f t="shared" si="3"/>
        <v>H</v>
      </c>
      <c r="I31" t="str">
        <f t="shared" si="3"/>
        <v>I</v>
      </c>
      <c r="J31" t="str">
        <f t="shared" si="3"/>
        <v>J</v>
      </c>
      <c r="K31" t="str">
        <f t="shared" si="3"/>
        <v>K</v>
      </c>
      <c r="L31" t="str">
        <f t="shared" si="3"/>
        <v>L</v>
      </c>
      <c r="M31" t="str">
        <f t="shared" si="3"/>
        <v>M</v>
      </c>
      <c r="N31" t="str">
        <f t="shared" si="3"/>
        <v>N</v>
      </c>
      <c r="O31" t="str">
        <f t="shared" si="3"/>
        <v>O</v>
      </c>
      <c r="P31" t="str">
        <f t="shared" si="3"/>
        <v>P</v>
      </c>
      <c r="Q31" t="str">
        <f t="shared" si="3"/>
        <v>Q</v>
      </c>
      <c r="R31" t="str">
        <f t="shared" si="3"/>
        <v>R</v>
      </c>
      <c r="S31" t="str">
        <f t="shared" si="3"/>
        <v>S</v>
      </c>
      <c r="T31" t="str">
        <f t="shared" si="3"/>
        <v>T</v>
      </c>
    </row>
  </sheetData>
  <mergeCells count="1">
    <mergeCell ref="K2:N2"/>
  </mergeCells>
  <dataValidations disablePrompts="1" count="1">
    <dataValidation allowBlank="1" showErrorMessage="1" prompt="Used for Fifa lots if requried" sqref="I12:I1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/>
  <dimension ref="A1:X31"/>
  <sheetViews>
    <sheetView workbookViewId="0">
      <selection activeCell="E7" sqref="E7:I7"/>
    </sheetView>
  </sheetViews>
  <sheetFormatPr defaultRowHeight="15"/>
  <cols>
    <col min="9" max="9" width="9" bestFit="1" customWidth="1"/>
    <col min="10" max="10" width="11.7109375" bestFit="1" customWidth="1"/>
    <col min="11" max="11" width="11" customWidth="1"/>
    <col min="12" max="14" width="8.42578125" bestFit="1" customWidth="1"/>
    <col min="15" max="15" width="10" bestFit="1" customWidth="1"/>
    <col min="17" max="17" width="12" bestFit="1" customWidth="1"/>
  </cols>
  <sheetData>
    <row r="1" spans="1:20">
      <c r="B1" s="17" t="str">
        <f>Config!C14</f>
        <v>Spain</v>
      </c>
      <c r="C1" s="17" t="str">
        <f>Config!C15</f>
        <v>Czech Rep</v>
      </c>
      <c r="D1" s="17" t="str">
        <f>Config!C16</f>
        <v>Turkey</v>
      </c>
      <c r="E1" s="17" t="str">
        <f>Config!C17</f>
        <v>Croatia</v>
      </c>
      <c r="K1" t="s">
        <v>173</v>
      </c>
    </row>
    <row r="2" spans="1:20">
      <c r="B2" t="s">
        <v>201</v>
      </c>
      <c r="D2" t="s">
        <v>202</v>
      </c>
      <c r="E2" t="s">
        <v>199</v>
      </c>
      <c r="F2" t="s">
        <v>200</v>
      </c>
      <c r="G2" t="s">
        <v>159</v>
      </c>
      <c r="H2" t="s">
        <v>203</v>
      </c>
      <c r="I2" t="s">
        <v>204</v>
      </c>
      <c r="K2" s="215" t="s">
        <v>160</v>
      </c>
      <c r="L2" s="215"/>
      <c r="M2" s="215"/>
      <c r="N2" s="215"/>
    </row>
    <row r="3" spans="1:20">
      <c r="A3">
        <v>1</v>
      </c>
      <c r="B3" t="str">
        <f>B1</f>
        <v>Spain</v>
      </c>
      <c r="C3" t="s">
        <v>161</v>
      </c>
      <c r="D3" t="str">
        <f>C1</f>
        <v>Czech Rep</v>
      </c>
      <c r="E3" s="16">
        <f>Wallchart!H20</f>
        <v>0</v>
      </c>
      <c r="F3" s="16">
        <f>Wallchart!I20</f>
        <v>0</v>
      </c>
      <c r="G3" s="17">
        <f>IF(I3=0,0,IF(E3&lt;F3,0,IF(E3&gt;F3,3,1)))</f>
        <v>0</v>
      </c>
      <c r="H3" s="17">
        <f>IF(I3=0,0,IF(F3&lt;E3,0,IF(F3&gt;E3,3,1)))</f>
        <v>0</v>
      </c>
      <c r="I3" s="16">
        <f>IF(ISBLANK(Wallchart!H20)=TRUE,0,IF(ISBLANK(Wallchart!I20)=TRUE,0,1))</f>
        <v>0</v>
      </c>
      <c r="K3" t="str">
        <f>B1</f>
        <v>Spain</v>
      </c>
      <c r="L3" t="str">
        <f>C1</f>
        <v>Czech Rep</v>
      </c>
      <c r="M3" t="str">
        <f>D1</f>
        <v>Turkey</v>
      </c>
      <c r="N3" t="str">
        <f>E1</f>
        <v>Croatia</v>
      </c>
      <c r="P3" s="5" t="str">
        <f>B1</f>
        <v>Spain</v>
      </c>
      <c r="Q3" s="5" t="str">
        <f>C1</f>
        <v>Czech Rep</v>
      </c>
      <c r="R3" s="5" t="str">
        <f>D1</f>
        <v>Turkey</v>
      </c>
      <c r="S3" s="5" t="str">
        <f>E1</f>
        <v>Croatia</v>
      </c>
      <c r="T3" s="5" t="s">
        <v>162</v>
      </c>
    </row>
    <row r="4" spans="1:20">
      <c r="A4">
        <v>2</v>
      </c>
      <c r="B4" t="str">
        <f>D1</f>
        <v>Turkey</v>
      </c>
      <c r="C4" t="s">
        <v>161</v>
      </c>
      <c r="D4" t="str">
        <f>E1</f>
        <v>Croatia</v>
      </c>
      <c r="E4" s="16">
        <f>Wallchart!H17</f>
        <v>0</v>
      </c>
      <c r="F4" s="16">
        <f>Wallchart!I17</f>
        <v>0</v>
      </c>
      <c r="G4" s="17">
        <f t="shared" ref="G4:G8" si="0">IF(I4=0,0,IF(E4&lt;F4,0,IF(E4&gt;F4,3,1)))</f>
        <v>0</v>
      </c>
      <c r="H4" s="17">
        <f t="shared" ref="H4:H8" si="1">IF(I4=0,0,IF(F4&lt;E4,0,IF(F4&gt;E4,3,1)))</f>
        <v>0</v>
      </c>
      <c r="I4" s="16">
        <f>IF(ISBLANK(Wallchart!H17)=TRUE,0,IF(ISBLANK(Wallchart!I17)=TRUE,0,1))</f>
        <v>0</v>
      </c>
      <c r="J4" t="str">
        <f>B1</f>
        <v>Spain</v>
      </c>
      <c r="K4">
        <v>0</v>
      </c>
      <c r="L4">
        <f>E3</f>
        <v>0</v>
      </c>
      <c r="M4">
        <f>E5</f>
        <v>0</v>
      </c>
      <c r="N4">
        <f>F7</f>
        <v>0</v>
      </c>
      <c r="P4">
        <v>0</v>
      </c>
      <c r="Q4">
        <f>IF(N26=N27,L4,0)</f>
        <v>0</v>
      </c>
      <c r="R4">
        <f>IF(N26=N28,M4,0)</f>
        <v>0</v>
      </c>
      <c r="S4">
        <f>IF(N26=N29,N4,0)</f>
        <v>0</v>
      </c>
      <c r="T4">
        <f>SUM(P4:S4)</f>
        <v>0</v>
      </c>
    </row>
    <row r="5" spans="1:20">
      <c r="A5">
        <v>3</v>
      </c>
      <c r="B5" t="str">
        <f>B1</f>
        <v>Spain</v>
      </c>
      <c r="C5" t="s">
        <v>161</v>
      </c>
      <c r="D5" t="str">
        <f>D1</f>
        <v>Turkey</v>
      </c>
      <c r="E5" s="16">
        <f>Wallchart!H33</f>
        <v>0</v>
      </c>
      <c r="F5" s="16">
        <f>Wallchart!I33</f>
        <v>0</v>
      </c>
      <c r="G5" s="17">
        <f t="shared" si="0"/>
        <v>0</v>
      </c>
      <c r="H5" s="17">
        <f t="shared" si="1"/>
        <v>0</v>
      </c>
      <c r="I5" s="16">
        <f>IF(ISBLANK(Wallchart!H33)=TRUE,0,IF(ISBLANK(Wallchart!I33)=TRUE,0,1))</f>
        <v>0</v>
      </c>
      <c r="J5" t="str">
        <f>C1</f>
        <v>Czech Rep</v>
      </c>
      <c r="K5">
        <f>F3</f>
        <v>0</v>
      </c>
      <c r="L5">
        <v>0</v>
      </c>
      <c r="M5">
        <f>F8</f>
        <v>0</v>
      </c>
      <c r="N5">
        <f>E6</f>
        <v>0</v>
      </c>
      <c r="P5">
        <f>IF(N27=N26,K5,0)</f>
        <v>0</v>
      </c>
      <c r="Q5">
        <v>0</v>
      </c>
      <c r="R5">
        <f>IF(N27=N28,M5,0)</f>
        <v>0</v>
      </c>
      <c r="S5">
        <f>IF(N27=N29,N5,0)</f>
        <v>0</v>
      </c>
      <c r="T5">
        <f>SUM(P5:S5)</f>
        <v>0</v>
      </c>
    </row>
    <row r="6" spans="1:20">
      <c r="A6">
        <v>4</v>
      </c>
      <c r="B6" t="str">
        <f>C1</f>
        <v>Czech Rep</v>
      </c>
      <c r="C6" t="s">
        <v>161</v>
      </c>
      <c r="D6" t="str">
        <f>E1</f>
        <v>Croatia</v>
      </c>
      <c r="E6" s="16">
        <f>Wallchart!H32</f>
        <v>0</v>
      </c>
      <c r="F6" s="16">
        <f>Wallchart!I32</f>
        <v>0</v>
      </c>
      <c r="G6" s="17">
        <f t="shared" si="0"/>
        <v>0</v>
      </c>
      <c r="H6" s="17">
        <f t="shared" si="1"/>
        <v>0</v>
      </c>
      <c r="I6" s="16">
        <f>IF(ISBLANK(Wallchart!H32)=TRUE,0,IF(ISBLANK(Wallchart!I32)=TRUE,0,1))</f>
        <v>0</v>
      </c>
      <c r="J6" t="str">
        <f>D1</f>
        <v>Turkey</v>
      </c>
      <c r="K6">
        <f>F5</f>
        <v>0</v>
      </c>
      <c r="L6">
        <f>E8</f>
        <v>0</v>
      </c>
      <c r="M6">
        <v>0</v>
      </c>
      <c r="N6">
        <f>E4</f>
        <v>0</v>
      </c>
      <c r="P6">
        <f>IF(N28=N26,K6,0)</f>
        <v>0</v>
      </c>
      <c r="Q6">
        <f>IF(N28=N27,L6,0)</f>
        <v>0</v>
      </c>
      <c r="R6">
        <v>0</v>
      </c>
      <c r="S6">
        <f>IF(N28=N29,N6,0)</f>
        <v>0</v>
      </c>
      <c r="T6">
        <f>SUM(P6:S6)</f>
        <v>0</v>
      </c>
    </row>
    <row r="7" spans="1:20">
      <c r="A7">
        <v>5</v>
      </c>
      <c r="B7" t="str">
        <f>E1</f>
        <v>Croatia</v>
      </c>
      <c r="C7" t="s">
        <v>161</v>
      </c>
      <c r="D7" t="str">
        <f>B1</f>
        <v>Spain</v>
      </c>
      <c r="E7" s="16">
        <f>Wallchart!H44</f>
        <v>0</v>
      </c>
      <c r="F7" s="16">
        <f>Wallchart!I44</f>
        <v>0</v>
      </c>
      <c r="G7" s="17">
        <f t="shared" si="0"/>
        <v>0</v>
      </c>
      <c r="H7" s="17">
        <f t="shared" si="1"/>
        <v>0</v>
      </c>
      <c r="I7" s="16">
        <f>IF(ISBLANK(Wallchart!H44)=TRUE,0,IF(ISBLANK(Wallchart!I44)=TRUE,0,1))</f>
        <v>0</v>
      </c>
      <c r="J7" t="str">
        <f>E1</f>
        <v>Croatia</v>
      </c>
      <c r="K7">
        <f>E7</f>
        <v>0</v>
      </c>
      <c r="L7">
        <f>F6</f>
        <v>0</v>
      </c>
      <c r="M7">
        <f>F4</f>
        <v>0</v>
      </c>
      <c r="N7">
        <v>0</v>
      </c>
      <c r="P7">
        <f>IF(N29=N26,K7,0)</f>
        <v>0</v>
      </c>
      <c r="Q7">
        <f>IF(N29=N27,L7,0)</f>
        <v>0</v>
      </c>
      <c r="R7">
        <f>IF(N29=N28,M7,0)</f>
        <v>0</v>
      </c>
      <c r="S7">
        <v>0</v>
      </c>
      <c r="T7">
        <f>SUM(P7:S7)</f>
        <v>0</v>
      </c>
    </row>
    <row r="8" spans="1:20">
      <c r="A8">
        <v>6</v>
      </c>
      <c r="B8" t="str">
        <f>D1</f>
        <v>Turkey</v>
      </c>
      <c r="C8" t="s">
        <v>161</v>
      </c>
      <c r="D8" t="str">
        <f>C1</f>
        <v>Czech Rep</v>
      </c>
      <c r="E8" s="16">
        <f>Wallchart!I43</f>
        <v>0</v>
      </c>
      <c r="F8" s="16">
        <f>Wallchart!H43</f>
        <v>0</v>
      </c>
      <c r="G8" s="17">
        <f t="shared" si="0"/>
        <v>0</v>
      </c>
      <c r="H8" s="17">
        <f t="shared" si="1"/>
        <v>0</v>
      </c>
      <c r="I8" s="16">
        <f>IF(ISBLANK(Wallchart!H43)=TRUE,0,IF(ISBLANK(Wallchart!I43)=TRUE,0,1))</f>
        <v>0</v>
      </c>
    </row>
    <row r="9" spans="1:20">
      <c r="I9" s="20"/>
      <c r="K9" t="s">
        <v>174</v>
      </c>
    </row>
    <row r="10" spans="1:20" ht="15.75" thickBot="1">
      <c r="K10" t="str">
        <f>B1</f>
        <v>Spain</v>
      </c>
      <c r="L10" t="str">
        <f>C1</f>
        <v>Czech Rep</v>
      </c>
      <c r="M10" t="str">
        <f>D1</f>
        <v>Turkey</v>
      </c>
      <c r="N10" t="str">
        <f>E1</f>
        <v>Croatia</v>
      </c>
      <c r="P10" s="5" t="str">
        <f>B1</f>
        <v>Spain</v>
      </c>
      <c r="Q10" s="5" t="str">
        <f>C1</f>
        <v>Czech Rep</v>
      </c>
      <c r="R10" s="5" t="str">
        <f>D1</f>
        <v>Turkey</v>
      </c>
      <c r="S10" s="5" t="str">
        <f>E1</f>
        <v>Croatia</v>
      </c>
      <c r="T10" s="5" t="s">
        <v>162</v>
      </c>
    </row>
    <row r="11" spans="1:20">
      <c r="B11" s="9" t="s">
        <v>196</v>
      </c>
      <c r="C11" s="10" t="s">
        <v>195</v>
      </c>
      <c r="D11" s="11" t="s">
        <v>163</v>
      </c>
      <c r="E11" s="11" t="s">
        <v>157</v>
      </c>
      <c r="F11" s="11" t="s">
        <v>164</v>
      </c>
      <c r="G11" s="11" t="s">
        <v>165</v>
      </c>
      <c r="H11" s="11" t="s">
        <v>156</v>
      </c>
      <c r="I11" s="18" t="s">
        <v>198</v>
      </c>
      <c r="J11" t="str">
        <f>B1</f>
        <v>Spain</v>
      </c>
      <c r="K11">
        <v>0</v>
      </c>
      <c r="L11">
        <f>L4-K5</f>
        <v>0</v>
      </c>
      <c r="M11">
        <f>M4-K6</f>
        <v>0</v>
      </c>
      <c r="N11">
        <f>N4-K7</f>
        <v>0</v>
      </c>
      <c r="P11">
        <v>0</v>
      </c>
      <c r="Q11">
        <f>IF(L26=L27,L11,0)</f>
        <v>0</v>
      </c>
      <c r="R11">
        <f>IF(L26=L28,M11,0)</f>
        <v>0</v>
      </c>
      <c r="S11">
        <f>IF(L26=L29,N11,0)</f>
        <v>0</v>
      </c>
      <c r="T11">
        <f>SUM(P11:S11)</f>
        <v>0</v>
      </c>
    </row>
    <row r="12" spans="1:20">
      <c r="B12" s="12">
        <v>1</v>
      </c>
      <c r="C12" s="13" t="str">
        <f>IF(S$26=1,A$26,IF(S$27=1,A$27,IF(S$28=1,A$28,A$29)))</f>
        <v>Spain</v>
      </c>
      <c r="D12" s="13">
        <f>IF(S$26=1,B$26,IF(S$27=1,B$27,IF(S$28=1,B$28,B$29)))</f>
        <v>0</v>
      </c>
      <c r="E12" s="13">
        <f>IF(S$26=1,C$26,IF(S$27=1,C$27,IF(S$28=1,C$28,C$29)))</f>
        <v>0</v>
      </c>
      <c r="F12" s="13">
        <f>IF(S$26=1,D$26,IF(S$27=1,D$27,IF(S$28=1,D$28,D$29)))</f>
        <v>0</v>
      </c>
      <c r="G12" s="13">
        <f>IF(S$26=1,E$26,IF(S$27=1,E$27,IF(S$28=1,E$28,E$29)))</f>
        <v>0</v>
      </c>
      <c r="H12" s="13">
        <f>IF(S$26=1,T$26,IF(S$27=1,T$27,IF(S$28=1,T$28,T$29)))</f>
        <v>0</v>
      </c>
      <c r="I12" s="21"/>
      <c r="J12" t="str">
        <f>C1</f>
        <v>Czech Rep</v>
      </c>
      <c r="K12">
        <f>K5-L4</f>
        <v>0</v>
      </c>
      <c r="L12">
        <v>0</v>
      </c>
      <c r="M12">
        <f>M5-L6</f>
        <v>0</v>
      </c>
      <c r="N12">
        <f>N5-L7</f>
        <v>0</v>
      </c>
      <c r="P12">
        <f>IF(L27=L26,K12,0)</f>
        <v>0</v>
      </c>
      <c r="Q12">
        <v>0</v>
      </c>
      <c r="R12">
        <f>IF(L27=L28,M12,0)</f>
        <v>0</v>
      </c>
      <c r="S12">
        <f>IF(L27=L29,N12,0)</f>
        <v>0</v>
      </c>
      <c r="T12">
        <f>SUM(P12:S12)</f>
        <v>0</v>
      </c>
    </row>
    <row r="13" spans="1:20">
      <c r="B13" s="12">
        <v>2</v>
      </c>
      <c r="C13" s="13" t="str">
        <f>IF(S$26=2,A$26,IF(S$27=2,A$27,IF(S$28=2,A$28,A$29)))</f>
        <v>Czech Rep</v>
      </c>
      <c r="D13" s="13">
        <f>IF(S$26=2,B$26,IF(S$27=2,B$27,IF(S$28=2,B$28,B$29)))</f>
        <v>0</v>
      </c>
      <c r="E13" s="13">
        <f>IF(S$26=2,C$26,IF(S$27=2,C$27,IF(S$28=2,C$28,C$29)))</f>
        <v>0</v>
      </c>
      <c r="F13" s="13">
        <f>IF(S$26=2,D$26,IF(S$27=2,D$27,IF(S$28=2,D$28,D$29)))</f>
        <v>0</v>
      </c>
      <c r="G13" s="13">
        <f>IF(S$26=2,E$26,IF(S$27=2,E$27,IF(S$28=2,E$28,E$29)))</f>
        <v>0</v>
      </c>
      <c r="H13" s="13">
        <f>IF(S$26=2,T$26,IF(S$27=2,T$27,IF(S$28=2,T$28,T$29)))</f>
        <v>0</v>
      </c>
      <c r="I13" s="21"/>
      <c r="J13" t="str">
        <f>D1</f>
        <v>Turkey</v>
      </c>
      <c r="K13">
        <f>K6-M4</f>
        <v>0</v>
      </c>
      <c r="L13">
        <f>L6-M5</f>
        <v>0</v>
      </c>
      <c r="M13">
        <v>0</v>
      </c>
      <c r="N13">
        <f>N6-M7</f>
        <v>0</v>
      </c>
      <c r="P13">
        <f>IF(L28=L26,K13,0)</f>
        <v>0</v>
      </c>
      <c r="Q13">
        <f>IF(L28=L27,L13,0)</f>
        <v>0</v>
      </c>
      <c r="R13">
        <v>0</v>
      </c>
      <c r="S13">
        <f>IF(L28=L29,N13,0)</f>
        <v>0</v>
      </c>
      <c r="T13">
        <f>SUM(P13:S13)</f>
        <v>0</v>
      </c>
    </row>
    <row r="14" spans="1:20">
      <c r="B14" s="12">
        <v>3</v>
      </c>
      <c r="C14" s="13" t="str">
        <f>IF(S$26=3,A$26,IF(S$27=3,A$27,IF(S$28=3,A$28,A$29)))</f>
        <v>Turkey</v>
      </c>
      <c r="D14" s="13">
        <f>IF(S$26=3,B$26,IF(S$27=3,B$27,IF(S$28=3,B$28,B$29)))</f>
        <v>0</v>
      </c>
      <c r="E14" s="13">
        <f>IF(S$26=3,C$26,IF(S$27=3,C$27,IF(S$28=3,C$28,C$29)))</f>
        <v>0</v>
      </c>
      <c r="F14" s="13">
        <f>IF(S$26=3,D$26,IF(S$27=3,D$27,IF(S$28=3,D$28,D$29)))</f>
        <v>0</v>
      </c>
      <c r="G14" s="13">
        <f>IF(S$26=3,E$26,IF(S$27=3,E$27,IF(S$28=3,E$28,E$29)))</f>
        <v>0</v>
      </c>
      <c r="H14" s="13">
        <f>IF(S$26=3,T$26,IF(S$27=3,T$27,IF(S$28=3,T$28,T$29)))</f>
        <v>0</v>
      </c>
      <c r="I14" s="21"/>
      <c r="J14" t="str">
        <f>E1</f>
        <v>Croatia</v>
      </c>
      <c r="K14">
        <f>K7-N4</f>
        <v>0</v>
      </c>
      <c r="L14">
        <f>L7-N5</f>
        <v>0</v>
      </c>
      <c r="M14">
        <f>M7-N6</f>
        <v>0</v>
      </c>
      <c r="N14">
        <v>0</v>
      </c>
      <c r="P14">
        <f>IF(L29=L26,K14,0)</f>
        <v>0</v>
      </c>
      <c r="Q14">
        <f>IF(L29=L27,L14,0)</f>
        <v>0</v>
      </c>
      <c r="R14">
        <f>IF(L29=L28,M14,0)</f>
        <v>0</v>
      </c>
      <c r="S14">
        <v>0</v>
      </c>
      <c r="T14">
        <f>SUM(P14:S14)</f>
        <v>0</v>
      </c>
    </row>
    <row r="15" spans="1:20" ht="15.75" thickBot="1">
      <c r="B15" s="14">
        <v>4</v>
      </c>
      <c r="C15" s="15" t="str">
        <f>IF(S$26=4,A$26,IF(S$27=4,A$27,IF(S$28=4,A$28,A$29)))</f>
        <v>Croatia</v>
      </c>
      <c r="D15" s="15">
        <f>IF(S$26=4,B$26,IF(S$27=4,B$27,IF(S$28=4,B$28,B$29)))</f>
        <v>0</v>
      </c>
      <c r="E15" s="15">
        <f>IF(S$26=4,C$26,IF(S$27=4,C$27,IF(S$28=4,C$28,C$29)))</f>
        <v>0</v>
      </c>
      <c r="F15" s="15">
        <f>IF(S$26=4,D$26,IF(S$27=4,D$27,IF(S$28=4,D$28,D$29)))</f>
        <v>0</v>
      </c>
      <c r="G15" s="15">
        <f>IF(S$26=4,E$26,IF(S$27=4,E$27,IF(S$28=4,E$28,E$29)))</f>
        <v>0</v>
      </c>
      <c r="H15" s="15">
        <f>IF(S$26=4,T$26,IF(S$27=4,T$27,IF(S$28=4,T$28,T$29)))</f>
        <v>0</v>
      </c>
      <c r="I15" s="21"/>
    </row>
    <row r="16" spans="1:20" ht="15.75" thickBot="1">
      <c r="I16" s="19" t="str">
        <f>IF(SUM(I3:I8)=6,IF(GrpD!W28&gt;0,IF(I12=I13,"Duplicate",IF(I12=I14,"Duplicate",IF(I12=I15,"Duplicate",IF(I13=I14,"Duplicate",IF(I13=I15,"Duplcate",IF(I14=I15,"Duplicate","")))))),""),"")</f>
        <v/>
      </c>
      <c r="K16" t="s">
        <v>175</v>
      </c>
    </row>
    <row r="17" spans="1:24">
      <c r="K17" t="str">
        <f>B1</f>
        <v>Spain</v>
      </c>
      <c r="L17" t="str">
        <f>C1</f>
        <v>Czech Rep</v>
      </c>
      <c r="M17" t="str">
        <f>D1</f>
        <v>Turkey</v>
      </c>
      <c r="N17" t="str">
        <f>E1</f>
        <v>Croatia</v>
      </c>
      <c r="P17" s="5" t="str">
        <f>B1</f>
        <v>Spain</v>
      </c>
      <c r="Q17" s="5" t="str">
        <f>C1</f>
        <v>Czech Rep</v>
      </c>
      <c r="R17" s="5" t="str">
        <f>D1</f>
        <v>Turkey</v>
      </c>
      <c r="S17" s="5" t="str">
        <f>E1</f>
        <v>Croatia</v>
      </c>
      <c r="T17" s="5" t="s">
        <v>162</v>
      </c>
    </row>
    <row r="18" spans="1:24">
      <c r="J18" t="str">
        <f>B1</f>
        <v>Spain</v>
      </c>
      <c r="K18">
        <v>0</v>
      </c>
      <c r="L18">
        <f>IF(L11&lt;0,0,IF(L11&gt;0,3,1))</f>
        <v>1</v>
      </c>
      <c r="M18">
        <f>IF(M11&lt;0,0,IF(M11&gt;0,3,1))</f>
        <v>1</v>
      </c>
      <c r="N18">
        <f>IF(N11&lt;0,0,IF(N11&gt;0,3,1))</f>
        <v>1</v>
      </c>
      <c r="P18">
        <v>0</v>
      </c>
      <c r="Q18">
        <f>IF(J26=J27,L18,0)</f>
        <v>1</v>
      </c>
      <c r="R18">
        <f>IF(J26=J28,M18,0)</f>
        <v>1</v>
      </c>
      <c r="S18">
        <f>IF(J26=J29,N18,0)</f>
        <v>1</v>
      </c>
      <c r="T18">
        <f>SUM(P18:S18)</f>
        <v>3</v>
      </c>
    </row>
    <row r="19" spans="1:24">
      <c r="J19" t="str">
        <f>C1</f>
        <v>Czech Rep</v>
      </c>
      <c r="K19">
        <f>IF(K12&lt;0,0,IF(K12&gt;0,3,1))</f>
        <v>1</v>
      </c>
      <c r="L19">
        <v>0</v>
      </c>
      <c r="M19">
        <f>IF(M12&lt;0,0,IF(M12&gt;0,3,1))</f>
        <v>1</v>
      </c>
      <c r="N19">
        <f>IF(N12&lt;0,0,IF(N12&gt;0,3,1))</f>
        <v>1</v>
      </c>
      <c r="P19">
        <f>IF(J27=J26,K19,0)</f>
        <v>1</v>
      </c>
      <c r="Q19">
        <v>0</v>
      </c>
      <c r="R19">
        <f>IF(J27=J28,M19,0)</f>
        <v>1</v>
      </c>
      <c r="S19">
        <f>IF(J27=J29,N19,0)</f>
        <v>1</v>
      </c>
      <c r="T19">
        <f>SUM(P19:S19)</f>
        <v>3</v>
      </c>
    </row>
    <row r="20" spans="1:24">
      <c r="J20" t="str">
        <f>D1</f>
        <v>Turkey</v>
      </c>
      <c r="K20">
        <f>IF(K13&lt;0,0,IF(K13&gt;0,3,1))</f>
        <v>1</v>
      </c>
      <c r="L20">
        <f>IF(L13&lt;0,0,IF(L13&gt;0,3,1))</f>
        <v>1</v>
      </c>
      <c r="M20">
        <v>0</v>
      </c>
      <c r="N20">
        <f>IF(N13&lt;0,0,IF(N13&gt;0,3,1))</f>
        <v>1</v>
      </c>
      <c r="P20">
        <f>IF(J28=J26,K20,0)</f>
        <v>1</v>
      </c>
      <c r="Q20">
        <f>IF(J28=J27,L20,0)</f>
        <v>1</v>
      </c>
      <c r="R20">
        <v>0</v>
      </c>
      <c r="S20">
        <f>IF(J28=J29,N20,0)</f>
        <v>1</v>
      </c>
      <c r="T20">
        <f>SUM(P20:S20)</f>
        <v>3</v>
      </c>
    </row>
    <row r="21" spans="1:24">
      <c r="J21" t="str">
        <f>E1</f>
        <v>Croatia</v>
      </c>
      <c r="K21">
        <f>IF(K14&lt;0,0,IF(K14&gt;0,3,1))</f>
        <v>1</v>
      </c>
      <c r="L21">
        <f>IF(L14&lt;0,0,IF(L14&gt;0,3,1))</f>
        <v>1</v>
      </c>
      <c r="M21">
        <f>IF(M14&lt;0,0,IF(M14&gt;0,3,1))</f>
        <v>1</v>
      </c>
      <c r="N21">
        <v>0</v>
      </c>
      <c r="P21">
        <f>IF(J29=J26,K21,0)</f>
        <v>1</v>
      </c>
      <c r="Q21">
        <f>IF(J29=J27,L21,0)</f>
        <v>1</v>
      </c>
      <c r="R21">
        <f>IF(J29=J28,M21,0)</f>
        <v>1</v>
      </c>
      <c r="S21">
        <v>0</v>
      </c>
      <c r="T21">
        <f>SUM(P21:S21)</f>
        <v>3</v>
      </c>
    </row>
    <row r="23" spans="1:24">
      <c r="A23" t="s">
        <v>64</v>
      </c>
      <c r="B23" t="s">
        <v>63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70</v>
      </c>
      <c r="I23" t="s">
        <v>177</v>
      </c>
      <c r="J23" t="s">
        <v>178</v>
      </c>
      <c r="K23" t="s">
        <v>179</v>
      </c>
      <c r="L23" t="s">
        <v>180</v>
      </c>
      <c r="M23" t="s">
        <v>181</v>
      </c>
      <c r="N23" t="s">
        <v>182</v>
      </c>
      <c r="O23" t="s">
        <v>183</v>
      </c>
      <c r="P23" t="s">
        <v>184</v>
      </c>
      <c r="Q23" t="s">
        <v>185</v>
      </c>
      <c r="R23" t="s">
        <v>186</v>
      </c>
      <c r="S23" t="s">
        <v>187</v>
      </c>
      <c r="T23" t="s">
        <v>188</v>
      </c>
    </row>
    <row r="24" spans="1:24">
      <c r="F24" s="8" t="s">
        <v>156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4" ht="188.25">
      <c r="A25" s="7" t="s">
        <v>195</v>
      </c>
      <c r="B25" t="s">
        <v>163</v>
      </c>
      <c r="C25" t="s">
        <v>157</v>
      </c>
      <c r="D25" t="s">
        <v>164</v>
      </c>
      <c r="E25" t="s">
        <v>165</v>
      </c>
      <c r="F25" s="6" t="s">
        <v>166</v>
      </c>
      <c r="G25" s="7" t="s">
        <v>167</v>
      </c>
      <c r="H25" s="7" t="s">
        <v>189</v>
      </c>
      <c r="I25" s="7" t="s">
        <v>168</v>
      </c>
      <c r="J25" s="7" t="s">
        <v>190</v>
      </c>
      <c r="K25" s="7" t="s">
        <v>169</v>
      </c>
      <c r="L25" s="7" t="s">
        <v>191</v>
      </c>
      <c r="M25" s="7" t="s">
        <v>170</v>
      </c>
      <c r="N25" s="7" t="s">
        <v>192</v>
      </c>
      <c r="O25" s="7" t="s">
        <v>172</v>
      </c>
      <c r="P25" s="7" t="s">
        <v>193</v>
      </c>
      <c r="Q25" s="7" t="s">
        <v>171</v>
      </c>
      <c r="R25" s="7" t="s">
        <v>194</v>
      </c>
      <c r="S25" s="7" t="s">
        <v>197</v>
      </c>
      <c r="T25" s="7" t="s">
        <v>176</v>
      </c>
      <c r="U25" s="7" t="s">
        <v>206</v>
      </c>
      <c r="V25" s="7" t="s">
        <v>207</v>
      </c>
      <c r="W25" s="7" t="s">
        <v>205</v>
      </c>
    </row>
    <row r="26" spans="1:24">
      <c r="A26" t="str">
        <f>B1</f>
        <v>Spain</v>
      </c>
      <c r="B26">
        <f>I3+I5+I7</f>
        <v>0</v>
      </c>
      <c r="C26">
        <f>E3+E5+F7</f>
        <v>0</v>
      </c>
      <c r="D26">
        <f>F3+F5+E7</f>
        <v>0</v>
      </c>
      <c r="E26">
        <f>C26-D26</f>
        <v>0</v>
      </c>
      <c r="F26">
        <f>G3+G5+H7</f>
        <v>0</v>
      </c>
      <c r="G26">
        <f>E26/100</f>
        <v>0</v>
      </c>
      <c r="H26">
        <f>F26+G26</f>
        <v>0</v>
      </c>
      <c r="I26">
        <f>C26/10000</f>
        <v>0</v>
      </c>
      <c r="J26">
        <f>H26+I26</f>
        <v>0</v>
      </c>
      <c r="K26">
        <f>T18/100000</f>
        <v>3.0000000000000001E-5</v>
      </c>
      <c r="L26">
        <f>J26+K26</f>
        <v>3.0000000000000001E-5</v>
      </c>
      <c r="M26">
        <f>T11/1000000</f>
        <v>0</v>
      </c>
      <c r="N26">
        <f>L26+M26</f>
        <v>3.0000000000000001E-5</v>
      </c>
      <c r="O26">
        <f>T4/10000000</f>
        <v>0</v>
      </c>
      <c r="P26">
        <f>N26+O26</f>
        <v>3.0000000000000001E-5</v>
      </c>
      <c r="Q26" s="17">
        <f>IF(W28&gt;0,IF(A26=GrpD!I12,0.00000004,IF(A26=GrpD!I13,0.00000003,IF(A26=GrpD!I14,0.00000002,0.00000001))),0)</f>
        <v>0</v>
      </c>
      <c r="R26">
        <f>Q26+P26+0.000000004</f>
        <v>3.0003999999999999E-5</v>
      </c>
      <c r="S26">
        <f>RANK(R26,R$26:R$29)</f>
        <v>1</v>
      </c>
      <c r="T26">
        <f>ROUND(R26,0)</f>
        <v>0</v>
      </c>
      <c r="U26">
        <f>P26</f>
        <v>3.0000000000000001E-5</v>
      </c>
      <c r="V26">
        <f>RANK(P26,U$26:U$29)</f>
        <v>1</v>
      </c>
      <c r="W26">
        <f>COUNTIF(V26:V29,1)-1</f>
        <v>3</v>
      </c>
      <c r="X26" t="str">
        <f>IF(W$28&gt;0,A26,"")</f>
        <v/>
      </c>
    </row>
    <row r="27" spans="1:24">
      <c r="A27" t="str">
        <f>C1</f>
        <v>Czech Rep</v>
      </c>
      <c r="B27">
        <f>I3+I6+I8</f>
        <v>0</v>
      </c>
      <c r="C27">
        <f>F3+E6+F8</f>
        <v>0</v>
      </c>
      <c r="D27">
        <f>E3+F6+E8</f>
        <v>0</v>
      </c>
      <c r="E27">
        <f>C27-D27</f>
        <v>0</v>
      </c>
      <c r="F27">
        <f>H3+G6+H8</f>
        <v>0</v>
      </c>
      <c r="G27">
        <f>E27/100</f>
        <v>0</v>
      </c>
      <c r="H27">
        <f>F27+G27</f>
        <v>0</v>
      </c>
      <c r="I27">
        <f>C27/10000</f>
        <v>0</v>
      </c>
      <c r="J27">
        <f>H27+I27</f>
        <v>0</v>
      </c>
      <c r="K27">
        <f>T19/100000</f>
        <v>3.0000000000000001E-5</v>
      </c>
      <c r="L27">
        <f>J27+K27</f>
        <v>3.0000000000000001E-5</v>
      </c>
      <c r="M27">
        <f>T12/1000000</f>
        <v>0</v>
      </c>
      <c r="N27">
        <f>L27+M27</f>
        <v>3.0000000000000001E-5</v>
      </c>
      <c r="O27">
        <f>T5/10000000</f>
        <v>0</v>
      </c>
      <c r="P27">
        <f>N27+O27</f>
        <v>3.0000000000000001E-5</v>
      </c>
      <c r="Q27" s="17">
        <f>IF(W28&gt;0,IF(A27=GrpD!I12,0.00000004,IF(A27=GrpD!I13,0.00000003,IF(A27=GrpD!I14,0.00000002,0.00000001))),0)</f>
        <v>0</v>
      </c>
      <c r="R27">
        <f>Q27+P27+0.000000003</f>
        <v>3.0003000000000001E-5</v>
      </c>
      <c r="S27">
        <f>RANK(R27,R$26:R$29)</f>
        <v>2</v>
      </c>
      <c r="T27">
        <f>ROUND(R27,0)</f>
        <v>0</v>
      </c>
      <c r="U27">
        <f>P27</f>
        <v>3.0000000000000001E-5</v>
      </c>
      <c r="V27">
        <f>RANK(U27,U$26:U$29)</f>
        <v>1</v>
      </c>
      <c r="W27">
        <f>MAX(0,COUNTIF(V26:V29,2)-1)</f>
        <v>0</v>
      </c>
      <c r="X27" t="str">
        <f>IF(W$28&gt;0,A27,"")</f>
        <v/>
      </c>
    </row>
    <row r="28" spans="1:24">
      <c r="A28" t="str">
        <f>D1</f>
        <v>Turkey</v>
      </c>
      <c r="B28">
        <f>I4+I5+I8</f>
        <v>0</v>
      </c>
      <c r="C28">
        <f>E4+F5+E8</f>
        <v>0</v>
      </c>
      <c r="D28">
        <f>F4+E5+F8</f>
        <v>0</v>
      </c>
      <c r="E28">
        <f>C28-D28</f>
        <v>0</v>
      </c>
      <c r="F28">
        <f>G4+H5+G8</f>
        <v>0</v>
      </c>
      <c r="G28">
        <f>E28/100</f>
        <v>0</v>
      </c>
      <c r="H28">
        <f>F28+G28</f>
        <v>0</v>
      </c>
      <c r="I28">
        <f>C28/10000</f>
        <v>0</v>
      </c>
      <c r="J28">
        <f>H28+I28</f>
        <v>0</v>
      </c>
      <c r="K28">
        <f>T20/100000</f>
        <v>3.0000000000000001E-5</v>
      </c>
      <c r="L28">
        <f>J28+K28</f>
        <v>3.0000000000000001E-5</v>
      </c>
      <c r="M28">
        <f>T13/1000000</f>
        <v>0</v>
      </c>
      <c r="N28">
        <f>L28+M28</f>
        <v>3.0000000000000001E-5</v>
      </c>
      <c r="O28">
        <f>T6/10000000</f>
        <v>0</v>
      </c>
      <c r="P28">
        <f>N28+O28</f>
        <v>3.0000000000000001E-5</v>
      </c>
      <c r="Q28" s="17">
        <f>IF(W28&gt;0,IF(A28=GrpD!I12,0.00000004,IF(A28=GrpD!I13,0.00000003,IF(A28=GrpD!I14,0.00000002,0.00000001))),0)</f>
        <v>0</v>
      </c>
      <c r="R28">
        <f>Q28+P28+0.000000002</f>
        <v>3.0002000000000002E-5</v>
      </c>
      <c r="S28">
        <f>RANK(R28,R$26:R$29)</f>
        <v>3</v>
      </c>
      <c r="T28">
        <f>ROUND(R28,0)</f>
        <v>0</v>
      </c>
      <c r="U28">
        <f>P28</f>
        <v>3.0000000000000001E-5</v>
      </c>
      <c r="V28">
        <f>RANK(U28,U$26:U$29)</f>
        <v>1</v>
      </c>
      <c r="W28">
        <f>IF(SUM(I3:I8)=6,SUM(W26:W27),0)</f>
        <v>0</v>
      </c>
      <c r="X28" t="str">
        <f>IF(W$28&gt;0,A28,"")</f>
        <v/>
      </c>
    </row>
    <row r="29" spans="1:24">
      <c r="A29" t="str">
        <f>E1</f>
        <v>Croatia</v>
      </c>
      <c r="B29">
        <f>I4+I6+I7</f>
        <v>0</v>
      </c>
      <c r="C29">
        <f>F4+F6+E7</f>
        <v>0</v>
      </c>
      <c r="D29">
        <f>E4+E6+F7</f>
        <v>0</v>
      </c>
      <c r="E29">
        <f>C29-D29</f>
        <v>0</v>
      </c>
      <c r="F29">
        <f>H4+H6+G7</f>
        <v>0</v>
      </c>
      <c r="G29">
        <f>E29/100</f>
        <v>0</v>
      </c>
      <c r="H29">
        <f>F29+G29</f>
        <v>0</v>
      </c>
      <c r="I29">
        <f>C29/10000</f>
        <v>0</v>
      </c>
      <c r="J29">
        <f>H29+I29</f>
        <v>0</v>
      </c>
      <c r="K29">
        <f>T21/100000</f>
        <v>3.0000000000000001E-5</v>
      </c>
      <c r="L29">
        <f>J29+K29</f>
        <v>3.0000000000000001E-5</v>
      </c>
      <c r="M29">
        <f>T14/1000000</f>
        <v>0</v>
      </c>
      <c r="N29">
        <f>L29+M29</f>
        <v>3.0000000000000001E-5</v>
      </c>
      <c r="O29">
        <f>T7/10000000</f>
        <v>0</v>
      </c>
      <c r="P29">
        <f>N29+O29</f>
        <v>3.0000000000000001E-5</v>
      </c>
      <c r="Q29" s="17">
        <f>IF(W28&gt;0,IF(A29=GrpD!I12,0.00000004,IF(A29=GrpD!I13,0.00000003,IF(A29=GrpD!I14,0.00000002,0.00000001))),0)</f>
        <v>0</v>
      </c>
      <c r="R29">
        <f>Q29+P29+0.000000001</f>
        <v>3.0001E-5</v>
      </c>
      <c r="S29">
        <f>RANK(R29,R$26:R$29)</f>
        <v>4</v>
      </c>
      <c r="T29">
        <f>ROUND(R29,0)</f>
        <v>0</v>
      </c>
      <c r="U29">
        <f>P29</f>
        <v>3.0000000000000001E-5</v>
      </c>
      <c r="V29">
        <f>RANK(U29,U$26:U$29)</f>
        <v>1</v>
      </c>
      <c r="X29" t="str">
        <f>IF(W$28&gt;0,A29,"")</f>
        <v/>
      </c>
    </row>
    <row r="31" spans="1:24">
      <c r="A31" t="str">
        <f t="shared" ref="A31:E31" si="2">A23</f>
        <v>A</v>
      </c>
      <c r="B31" t="str">
        <f t="shared" si="2"/>
        <v>B</v>
      </c>
      <c r="C31" t="str">
        <f t="shared" si="2"/>
        <v>C</v>
      </c>
      <c r="D31" t="str">
        <f t="shared" si="2"/>
        <v>D</v>
      </c>
      <c r="E31" t="str">
        <f t="shared" si="2"/>
        <v>E</v>
      </c>
      <c r="F31" t="str">
        <f>F23</f>
        <v>F</v>
      </c>
      <c r="G31" t="str">
        <f t="shared" ref="G31:T31" si="3">G23</f>
        <v>G</v>
      </c>
      <c r="H31" t="str">
        <f t="shared" si="3"/>
        <v>H</v>
      </c>
      <c r="I31" t="str">
        <f t="shared" si="3"/>
        <v>I</v>
      </c>
      <c r="J31" t="str">
        <f t="shared" si="3"/>
        <v>J</v>
      </c>
      <c r="K31" t="str">
        <f t="shared" si="3"/>
        <v>K</v>
      </c>
      <c r="L31" t="str">
        <f t="shared" si="3"/>
        <v>L</v>
      </c>
      <c r="M31" t="str">
        <f t="shared" si="3"/>
        <v>M</v>
      </c>
      <c r="N31" t="str">
        <f t="shared" si="3"/>
        <v>N</v>
      </c>
      <c r="O31" t="str">
        <f t="shared" si="3"/>
        <v>O</v>
      </c>
      <c r="P31" t="str">
        <f t="shared" si="3"/>
        <v>P</v>
      </c>
      <c r="Q31" t="str">
        <f t="shared" si="3"/>
        <v>Q</v>
      </c>
      <c r="R31" t="str">
        <f t="shared" si="3"/>
        <v>R</v>
      </c>
      <c r="S31" t="str">
        <f t="shared" si="3"/>
        <v>S</v>
      </c>
      <c r="T31" t="str">
        <f t="shared" si="3"/>
        <v>T</v>
      </c>
    </row>
  </sheetData>
  <mergeCells count="1">
    <mergeCell ref="K2:N2"/>
  </mergeCells>
  <dataValidations count="1">
    <dataValidation allowBlank="1" showErrorMessage="1" prompt="Used for Fifa lots if requried" sqref="I12:I1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/>
  <dimension ref="A1:X31"/>
  <sheetViews>
    <sheetView workbookViewId="0">
      <selection activeCell="E8" sqref="E8"/>
    </sheetView>
  </sheetViews>
  <sheetFormatPr defaultRowHeight="15"/>
  <cols>
    <col min="9" max="9" width="9" bestFit="1" customWidth="1"/>
    <col min="10" max="10" width="11.7109375" bestFit="1" customWidth="1"/>
    <col min="11" max="11" width="11" customWidth="1"/>
    <col min="12" max="14" width="8.42578125" bestFit="1" customWidth="1"/>
    <col min="15" max="15" width="10" bestFit="1" customWidth="1"/>
    <col min="17" max="17" width="12" bestFit="1" customWidth="1"/>
  </cols>
  <sheetData>
    <row r="1" spans="1:20">
      <c r="B1" s="17" t="str">
        <f>Config!C10</f>
        <v>Germany</v>
      </c>
      <c r="C1" s="17" t="str">
        <f>Config!C11</f>
        <v>Ukraine</v>
      </c>
      <c r="D1" s="17" t="str">
        <f>Config!C12</f>
        <v>Poland</v>
      </c>
      <c r="E1" s="17" t="str">
        <f>Config!C13</f>
        <v>N Ireland</v>
      </c>
      <c r="K1" t="s">
        <v>173</v>
      </c>
    </row>
    <row r="2" spans="1:20">
      <c r="B2" t="s">
        <v>201</v>
      </c>
      <c r="D2" t="s">
        <v>202</v>
      </c>
      <c r="E2" t="s">
        <v>199</v>
      </c>
      <c r="F2" t="s">
        <v>200</v>
      </c>
      <c r="G2" t="s">
        <v>159</v>
      </c>
      <c r="H2" t="s">
        <v>203</v>
      </c>
      <c r="I2" t="s">
        <v>204</v>
      </c>
      <c r="K2" s="215" t="s">
        <v>160</v>
      </c>
      <c r="L2" s="215"/>
      <c r="M2" s="215"/>
      <c r="N2" s="215"/>
    </row>
    <row r="3" spans="1:20">
      <c r="A3">
        <v>1</v>
      </c>
      <c r="B3" t="str">
        <f>B1</f>
        <v>Germany</v>
      </c>
      <c r="C3" t="s">
        <v>161</v>
      </c>
      <c r="D3" t="str">
        <f>C1</f>
        <v>Ukraine</v>
      </c>
      <c r="E3" s="16">
        <f>Wallchart!H19</f>
        <v>0</v>
      </c>
      <c r="F3" s="16">
        <f>Wallchart!I19</f>
        <v>0</v>
      </c>
      <c r="G3" s="17">
        <f>IF(I3=0,0,IF(E3&lt;F3,0,IF(E3&gt;F3,3,1)))</f>
        <v>0</v>
      </c>
      <c r="H3" s="17">
        <f>IF(I3=0,0,IF(F3&lt;E3,0,IF(F3&gt;E3,3,1)))</f>
        <v>0</v>
      </c>
      <c r="I3" s="16">
        <f>IF(ISBLANK(Wallchart!H19)=TRUE,0,IF(ISBLANK(Wallchart!I19)=TRUE,0,1))</f>
        <v>0</v>
      </c>
      <c r="K3" t="str">
        <f>B1</f>
        <v>Germany</v>
      </c>
      <c r="L3" t="str">
        <f>C1</f>
        <v>Ukraine</v>
      </c>
      <c r="M3" t="str">
        <f>D1</f>
        <v>Poland</v>
      </c>
      <c r="N3" t="str">
        <f>E1</f>
        <v>N Ireland</v>
      </c>
      <c r="P3" s="5" t="str">
        <f>B1</f>
        <v>Germany</v>
      </c>
      <c r="Q3" s="5" t="str">
        <f>C1</f>
        <v>Ukraine</v>
      </c>
      <c r="R3" s="5" t="str">
        <f>D1</f>
        <v>Poland</v>
      </c>
      <c r="S3" s="5" t="str">
        <f>E1</f>
        <v>N Ireland</v>
      </c>
      <c r="T3" s="5" t="s">
        <v>162</v>
      </c>
    </row>
    <row r="4" spans="1:20">
      <c r="A4">
        <v>2</v>
      </c>
      <c r="B4" t="str">
        <f>D1</f>
        <v>Poland</v>
      </c>
      <c r="C4" t="s">
        <v>161</v>
      </c>
      <c r="D4" t="str">
        <f>E1</f>
        <v>N Ireland</v>
      </c>
      <c r="E4" s="16">
        <f>Wallchart!H18</f>
        <v>0</v>
      </c>
      <c r="F4" s="16">
        <f>Wallchart!I18</f>
        <v>0</v>
      </c>
      <c r="G4" s="17">
        <f t="shared" ref="G4:G8" si="0">IF(I4=0,0,IF(E4&lt;F4,0,IF(E4&gt;F4,3,1)))</f>
        <v>0</v>
      </c>
      <c r="H4" s="17">
        <f t="shared" ref="H4:H8" si="1">IF(I4=0,0,IF(F4&lt;E4,0,IF(F4&gt;E4,3,1)))</f>
        <v>0</v>
      </c>
      <c r="I4" s="16">
        <f>IF(ISBLANK(Wallchart!H18)=TRUE,0,IF(ISBLANK(Wallchart!I18)=TRUE,0,1))</f>
        <v>0</v>
      </c>
      <c r="J4" t="str">
        <f>B1</f>
        <v>Germany</v>
      </c>
      <c r="K4">
        <v>0</v>
      </c>
      <c r="L4">
        <f>E3</f>
        <v>0</v>
      </c>
      <c r="M4">
        <f>E5</f>
        <v>0</v>
      </c>
      <c r="N4">
        <f>F7</f>
        <v>0</v>
      </c>
      <c r="P4">
        <v>0</v>
      </c>
      <c r="Q4">
        <f>IF(N26=N27,L4,0)</f>
        <v>0</v>
      </c>
      <c r="R4">
        <f>IF(N26=N28,M4,0)</f>
        <v>0</v>
      </c>
      <c r="S4">
        <f>IF(N26=N29,N4,0)</f>
        <v>0</v>
      </c>
      <c r="T4">
        <f>SUM(P4:S4)</f>
        <v>0</v>
      </c>
    </row>
    <row r="5" spans="1:20">
      <c r="A5">
        <v>3</v>
      </c>
      <c r="B5" t="str">
        <f>B1</f>
        <v>Germany</v>
      </c>
      <c r="C5" t="s">
        <v>161</v>
      </c>
      <c r="D5" t="str">
        <f>D1</f>
        <v>Poland</v>
      </c>
      <c r="E5" s="16">
        <f>Wallchart!H30</f>
        <v>0</v>
      </c>
      <c r="F5" s="16">
        <f>Wallchart!I30</f>
        <v>0</v>
      </c>
      <c r="G5" s="17">
        <f t="shared" si="0"/>
        <v>0</v>
      </c>
      <c r="H5" s="17">
        <f t="shared" si="1"/>
        <v>0</v>
      </c>
      <c r="I5" s="16">
        <f>IF(ISBLANK(Wallchart!H30)=TRUE,0,IF(ISBLANK(Wallchart!I30)=TRUE,0,1))</f>
        <v>0</v>
      </c>
      <c r="J5" t="str">
        <f>C1</f>
        <v>Ukraine</v>
      </c>
      <c r="K5">
        <f>F3</f>
        <v>0</v>
      </c>
      <c r="L5">
        <v>0</v>
      </c>
      <c r="M5">
        <f>F8</f>
        <v>0</v>
      </c>
      <c r="N5">
        <f>E6</f>
        <v>0</v>
      </c>
      <c r="P5">
        <f>IF(N27=N26,K5,0)</f>
        <v>0</v>
      </c>
      <c r="Q5">
        <v>0</v>
      </c>
      <c r="R5">
        <f>IF(N27=N28,M5,0)</f>
        <v>0</v>
      </c>
      <c r="S5">
        <f>IF(N27=N29,N5,0)</f>
        <v>0</v>
      </c>
      <c r="T5">
        <f>SUM(P5:S5)</f>
        <v>0</v>
      </c>
    </row>
    <row r="6" spans="1:20">
      <c r="A6">
        <v>4</v>
      </c>
      <c r="B6" t="str">
        <f>C1</f>
        <v>Ukraine</v>
      </c>
      <c r="C6" t="s">
        <v>161</v>
      </c>
      <c r="D6" t="str">
        <f>E1</f>
        <v>N Ireland</v>
      </c>
      <c r="E6" s="16">
        <f>Wallchart!H29</f>
        <v>0</v>
      </c>
      <c r="F6" s="16">
        <f>Wallchart!I29</f>
        <v>0</v>
      </c>
      <c r="G6" s="17">
        <f t="shared" si="0"/>
        <v>0</v>
      </c>
      <c r="H6" s="17">
        <f t="shared" si="1"/>
        <v>0</v>
      </c>
      <c r="I6" s="16">
        <f>IF(ISBLANK(Wallchart!H29)=TRUE,0,IF(ISBLANK(Wallchart!I29)=TRUE,0,1))</f>
        <v>0</v>
      </c>
      <c r="J6" t="str">
        <f>D1</f>
        <v>Poland</v>
      </c>
      <c r="K6">
        <f>F5</f>
        <v>0</v>
      </c>
      <c r="L6">
        <f>E8</f>
        <v>0</v>
      </c>
      <c r="M6">
        <v>0</v>
      </c>
      <c r="N6">
        <f>E4</f>
        <v>0</v>
      </c>
      <c r="P6">
        <f>IF(N28=N26,K6,0)</f>
        <v>0</v>
      </c>
      <c r="Q6">
        <f>IF(N28=N27,L6,0)</f>
        <v>0</v>
      </c>
      <c r="R6">
        <v>0</v>
      </c>
      <c r="S6">
        <f>IF(N28=N29,N6,0)</f>
        <v>0</v>
      </c>
      <c r="T6">
        <f>SUM(P6:S6)</f>
        <v>0</v>
      </c>
    </row>
    <row r="7" spans="1:20">
      <c r="A7">
        <v>5</v>
      </c>
      <c r="B7" t="str">
        <f>E1</f>
        <v>N Ireland</v>
      </c>
      <c r="C7" t="s">
        <v>161</v>
      </c>
      <c r="D7" t="str">
        <f>B1</f>
        <v>Germany</v>
      </c>
      <c r="E7" s="16">
        <f>Wallchart!H42</f>
        <v>0</v>
      </c>
      <c r="F7" s="16">
        <f>Wallchart!I42</f>
        <v>0</v>
      </c>
      <c r="G7" s="17">
        <f t="shared" si="0"/>
        <v>0</v>
      </c>
      <c r="H7" s="17">
        <f t="shared" si="1"/>
        <v>0</v>
      </c>
      <c r="I7" s="16">
        <f>IF(ISBLANK(Wallchart!H42)=TRUE,0,IF(ISBLANK(Wallchart!I42)=TRUE,0,1))</f>
        <v>0</v>
      </c>
      <c r="J7" t="str">
        <f>E1</f>
        <v>N Ireland</v>
      </c>
      <c r="K7">
        <f>E7</f>
        <v>0</v>
      </c>
      <c r="L7">
        <f>F6</f>
        <v>0</v>
      </c>
      <c r="M7">
        <f>F4</f>
        <v>0</v>
      </c>
      <c r="N7">
        <v>0</v>
      </c>
      <c r="P7">
        <f>IF(N29=N26,K7,0)</f>
        <v>0</v>
      </c>
      <c r="Q7">
        <f>IF(N29=N27,L7,0)</f>
        <v>0</v>
      </c>
      <c r="R7">
        <f>IF(N29=N28,M7,0)</f>
        <v>0</v>
      </c>
      <c r="S7">
        <v>0</v>
      </c>
      <c r="T7">
        <f>SUM(P7:S7)</f>
        <v>0</v>
      </c>
    </row>
    <row r="8" spans="1:20">
      <c r="A8">
        <v>6</v>
      </c>
      <c r="B8" t="str">
        <f>D1</f>
        <v>Poland</v>
      </c>
      <c r="C8" t="s">
        <v>161</v>
      </c>
      <c r="D8" t="str">
        <f>C1</f>
        <v>Ukraine</v>
      </c>
      <c r="E8" s="16">
        <f>Wallchart!I41</f>
        <v>0</v>
      </c>
      <c r="F8" s="16">
        <f>Wallchart!H41</f>
        <v>0</v>
      </c>
      <c r="G8" s="17">
        <f t="shared" si="0"/>
        <v>0</v>
      </c>
      <c r="H8" s="17">
        <f t="shared" si="1"/>
        <v>0</v>
      </c>
      <c r="I8" s="16">
        <f>IF(ISBLANK(Wallchart!H41)=TRUE,0,IF(ISBLANK(Wallchart!I41)=TRUE,0,1))</f>
        <v>0</v>
      </c>
    </row>
    <row r="9" spans="1:20">
      <c r="I9" s="20"/>
      <c r="K9" t="s">
        <v>174</v>
      </c>
    </row>
    <row r="10" spans="1:20" ht="15.75" thickBot="1">
      <c r="K10" t="str">
        <f>B1</f>
        <v>Germany</v>
      </c>
      <c r="L10" t="str">
        <f>C1</f>
        <v>Ukraine</v>
      </c>
      <c r="M10" t="str">
        <f>D1</f>
        <v>Poland</v>
      </c>
      <c r="N10" t="str">
        <f>E1</f>
        <v>N Ireland</v>
      </c>
      <c r="P10" s="5" t="str">
        <f>B1</f>
        <v>Germany</v>
      </c>
      <c r="Q10" s="5" t="str">
        <f>C1</f>
        <v>Ukraine</v>
      </c>
      <c r="R10" s="5" t="str">
        <f>D1</f>
        <v>Poland</v>
      </c>
      <c r="S10" s="5" t="str">
        <f>E1</f>
        <v>N Ireland</v>
      </c>
      <c r="T10" s="5" t="s">
        <v>162</v>
      </c>
    </row>
    <row r="11" spans="1:20">
      <c r="B11" s="9" t="s">
        <v>196</v>
      </c>
      <c r="C11" s="10" t="s">
        <v>195</v>
      </c>
      <c r="D11" s="11" t="s">
        <v>163</v>
      </c>
      <c r="E11" s="11" t="s">
        <v>157</v>
      </c>
      <c r="F11" s="11" t="s">
        <v>164</v>
      </c>
      <c r="G11" s="11" t="s">
        <v>165</v>
      </c>
      <c r="H11" s="11" t="s">
        <v>156</v>
      </c>
      <c r="I11" s="18" t="s">
        <v>198</v>
      </c>
      <c r="J11" t="str">
        <f>B1</f>
        <v>Germany</v>
      </c>
      <c r="K11">
        <v>0</v>
      </c>
      <c r="L11">
        <f>L4-K5</f>
        <v>0</v>
      </c>
      <c r="M11">
        <f>M4-K6</f>
        <v>0</v>
      </c>
      <c r="N11">
        <f>N4-K7</f>
        <v>0</v>
      </c>
      <c r="P11">
        <v>0</v>
      </c>
      <c r="Q11">
        <f>IF(L26=L27,L11,0)</f>
        <v>0</v>
      </c>
      <c r="R11">
        <f>IF(L26=L28,M11,0)</f>
        <v>0</v>
      </c>
      <c r="S11">
        <f>IF(L26=L29,N11,0)</f>
        <v>0</v>
      </c>
      <c r="T11">
        <f>SUM(P11:S11)</f>
        <v>0</v>
      </c>
    </row>
    <row r="12" spans="1:20">
      <c r="B12" s="12">
        <v>1</v>
      </c>
      <c r="C12" s="13" t="str">
        <f>IF(S$26=1,A$26,IF(S$27=1,A$27,IF(S$28=1,A$28,A$29)))</f>
        <v>Germany</v>
      </c>
      <c r="D12" s="13">
        <f>IF(S$26=1,B$26,IF(S$27=1,B$27,IF(S$28=1,B$28,B$29)))</f>
        <v>0</v>
      </c>
      <c r="E12" s="13">
        <f>IF(S$26=1,C$26,IF(S$27=1,C$27,IF(S$28=1,C$28,C$29)))</f>
        <v>0</v>
      </c>
      <c r="F12" s="13">
        <f>IF(S$26=1,D$26,IF(S$27=1,D$27,IF(S$28=1,D$28,D$29)))</f>
        <v>0</v>
      </c>
      <c r="G12" s="13">
        <f>IF(S$26=1,E$26,IF(S$27=1,E$27,IF(S$28=1,E$28,E$29)))</f>
        <v>0</v>
      </c>
      <c r="H12" s="13">
        <f>IF(S$26=1,T$26,IF(S$27=1,T$27,IF(S$28=1,T$28,T$29)))</f>
        <v>0</v>
      </c>
      <c r="I12" s="21"/>
      <c r="J12" t="str">
        <f>C1</f>
        <v>Ukraine</v>
      </c>
      <c r="K12">
        <f>K5-L4</f>
        <v>0</v>
      </c>
      <c r="L12">
        <v>0</v>
      </c>
      <c r="M12">
        <f>M5-L6</f>
        <v>0</v>
      </c>
      <c r="N12">
        <f>N5-L7</f>
        <v>0</v>
      </c>
      <c r="P12">
        <f>IF(L27=L26,K12,0)</f>
        <v>0</v>
      </c>
      <c r="Q12">
        <v>0</v>
      </c>
      <c r="R12">
        <f>IF(L27=L28,M12,0)</f>
        <v>0</v>
      </c>
      <c r="S12">
        <f>IF(L27=L29,N12,0)</f>
        <v>0</v>
      </c>
      <c r="T12">
        <f>SUM(P12:S12)</f>
        <v>0</v>
      </c>
    </row>
    <row r="13" spans="1:20">
      <c r="B13" s="12">
        <v>2</v>
      </c>
      <c r="C13" s="13" t="str">
        <f>IF(S$26=2,A$26,IF(S$27=2,A$27,IF(S$28=2,A$28,A$29)))</f>
        <v>Ukraine</v>
      </c>
      <c r="D13" s="13">
        <f>IF(S$26=2,B$26,IF(S$27=2,B$27,IF(S$28=2,B$28,B$29)))</f>
        <v>0</v>
      </c>
      <c r="E13" s="13">
        <f>IF(S$26=2,C$26,IF(S$27=2,C$27,IF(S$28=2,C$28,C$29)))</f>
        <v>0</v>
      </c>
      <c r="F13" s="13">
        <f>IF(S$26=2,D$26,IF(S$27=2,D$27,IF(S$28=2,D$28,D$29)))</f>
        <v>0</v>
      </c>
      <c r="G13" s="13">
        <f>IF(S$26=2,E$26,IF(S$27=2,E$27,IF(S$28=2,E$28,E$29)))</f>
        <v>0</v>
      </c>
      <c r="H13" s="13">
        <f>IF(S$26=2,T$26,IF(S$27=2,T$27,IF(S$28=2,T$28,T$29)))</f>
        <v>0</v>
      </c>
      <c r="I13" s="21"/>
      <c r="J13" t="str">
        <f>D1</f>
        <v>Poland</v>
      </c>
      <c r="K13">
        <f>K6-M4</f>
        <v>0</v>
      </c>
      <c r="L13">
        <f>L6-M5</f>
        <v>0</v>
      </c>
      <c r="M13">
        <v>0</v>
      </c>
      <c r="N13">
        <f>N6-M7</f>
        <v>0</v>
      </c>
      <c r="P13">
        <f>IF(L28=L26,K13,0)</f>
        <v>0</v>
      </c>
      <c r="Q13">
        <f>IF(L28=L27,L13,0)</f>
        <v>0</v>
      </c>
      <c r="R13">
        <v>0</v>
      </c>
      <c r="S13">
        <f>IF(L28=L29,N13,0)</f>
        <v>0</v>
      </c>
      <c r="T13">
        <f>SUM(P13:S13)</f>
        <v>0</v>
      </c>
    </row>
    <row r="14" spans="1:20">
      <c r="B14" s="12">
        <v>3</v>
      </c>
      <c r="C14" s="13" t="str">
        <f>IF(S$26=3,A$26,IF(S$27=3,A$27,IF(S$28=3,A$28,A$29)))</f>
        <v>Poland</v>
      </c>
      <c r="D14" s="13">
        <f>IF(S$26=3,B$26,IF(S$27=3,B$27,IF(S$28=3,B$28,B$29)))</f>
        <v>0</v>
      </c>
      <c r="E14" s="13">
        <f>IF(S$26=3,C$26,IF(S$27=3,C$27,IF(S$28=3,C$28,C$29)))</f>
        <v>0</v>
      </c>
      <c r="F14" s="13">
        <f>IF(S$26=3,D$26,IF(S$27=3,D$27,IF(S$28=3,D$28,D$29)))</f>
        <v>0</v>
      </c>
      <c r="G14" s="13">
        <f>IF(S$26=3,E$26,IF(S$27=3,E$27,IF(S$28=3,E$28,E$29)))</f>
        <v>0</v>
      </c>
      <c r="H14" s="13">
        <f>IF(S$26=3,T$26,IF(S$27=3,T$27,IF(S$28=3,T$28,T$29)))</f>
        <v>0</v>
      </c>
      <c r="I14" s="21"/>
      <c r="J14" t="str">
        <f>E1</f>
        <v>N Ireland</v>
      </c>
      <c r="K14">
        <f>K7-N4</f>
        <v>0</v>
      </c>
      <c r="L14">
        <f>L7-N5</f>
        <v>0</v>
      </c>
      <c r="M14">
        <f>M7-N6</f>
        <v>0</v>
      </c>
      <c r="N14">
        <v>0</v>
      </c>
      <c r="P14">
        <f>IF(L29=L26,K14,0)</f>
        <v>0</v>
      </c>
      <c r="Q14">
        <f>IF(L29=L27,L14,0)</f>
        <v>0</v>
      </c>
      <c r="R14">
        <f>IF(L29=L28,M14,0)</f>
        <v>0</v>
      </c>
      <c r="S14">
        <v>0</v>
      </c>
      <c r="T14">
        <f>SUM(P14:S14)</f>
        <v>0</v>
      </c>
    </row>
    <row r="15" spans="1:20" ht="15.75" thickBot="1">
      <c r="B15" s="14">
        <v>4</v>
      </c>
      <c r="C15" s="15" t="str">
        <f>IF(S$26=4,A$26,IF(S$27=4,A$27,IF(S$28=4,A$28,A$29)))</f>
        <v>N Ireland</v>
      </c>
      <c r="D15" s="15">
        <f>IF(S$26=4,B$26,IF(S$27=4,B$27,IF(S$28=4,B$28,B$29)))</f>
        <v>0</v>
      </c>
      <c r="E15" s="15">
        <f>IF(S$26=4,C$26,IF(S$27=4,C$27,IF(S$28=4,C$28,C$29)))</f>
        <v>0</v>
      </c>
      <c r="F15" s="15">
        <f>IF(S$26=4,D$26,IF(S$27=4,D$27,IF(S$28=4,D$28,D$29)))</f>
        <v>0</v>
      </c>
      <c r="G15" s="15">
        <f>IF(S$26=4,E$26,IF(S$27=4,E$27,IF(S$28=4,E$28,E$29)))</f>
        <v>0</v>
      </c>
      <c r="H15" s="15">
        <f>IF(S$26=4,T$26,IF(S$27=4,T$27,IF(S$28=4,T$28,T$29)))</f>
        <v>0</v>
      </c>
      <c r="I15" s="21"/>
    </row>
    <row r="16" spans="1:20" ht="15.75" thickBot="1">
      <c r="I16" s="19" t="str">
        <f>IF(SUM(I3:I8)=6,IF(GrpC!W28&gt;0,IF(I12=I13,"Duplicate",IF(I12=I14,"Duplicate",IF(I12=I15,"Duplicate",IF(I13=I14,"Duplicate",IF(I13=I15,"Duplcate",IF(I14=I15,"Duplicate","")))))),""),"")</f>
        <v/>
      </c>
      <c r="K16" t="s">
        <v>175</v>
      </c>
    </row>
    <row r="17" spans="1:24">
      <c r="K17" t="str">
        <f>B1</f>
        <v>Germany</v>
      </c>
      <c r="L17" t="str">
        <f>C1</f>
        <v>Ukraine</v>
      </c>
      <c r="M17" t="str">
        <f>D1</f>
        <v>Poland</v>
      </c>
      <c r="N17" t="str">
        <f>E1</f>
        <v>N Ireland</v>
      </c>
      <c r="P17" s="5" t="str">
        <f>B1</f>
        <v>Germany</v>
      </c>
      <c r="Q17" s="5" t="str">
        <f>C1</f>
        <v>Ukraine</v>
      </c>
      <c r="R17" s="5" t="str">
        <f>D1</f>
        <v>Poland</v>
      </c>
      <c r="S17" s="5" t="str">
        <f>E1</f>
        <v>N Ireland</v>
      </c>
      <c r="T17" s="5" t="s">
        <v>162</v>
      </c>
    </row>
    <row r="18" spans="1:24">
      <c r="J18" t="str">
        <f>B1</f>
        <v>Germany</v>
      </c>
      <c r="K18">
        <v>0</v>
      </c>
      <c r="L18">
        <f>IF(L11&lt;0,0,IF(L11&gt;0,3,1))</f>
        <v>1</v>
      </c>
      <c r="M18">
        <f>IF(M11&lt;0,0,IF(M11&gt;0,3,1))</f>
        <v>1</v>
      </c>
      <c r="N18">
        <f>IF(N11&lt;0,0,IF(N11&gt;0,3,1))</f>
        <v>1</v>
      </c>
      <c r="P18">
        <v>0</v>
      </c>
      <c r="Q18">
        <f>IF(J26=J27,L18,0)</f>
        <v>1</v>
      </c>
      <c r="R18">
        <f>IF(J26=J28,M18,0)</f>
        <v>1</v>
      </c>
      <c r="S18">
        <f>IF(J26=J29,N18,0)</f>
        <v>1</v>
      </c>
      <c r="T18">
        <f>SUM(P18:S18)</f>
        <v>3</v>
      </c>
    </row>
    <row r="19" spans="1:24">
      <c r="J19" t="str">
        <f>C1</f>
        <v>Ukraine</v>
      </c>
      <c r="K19">
        <f>IF(K12&lt;0,0,IF(K12&gt;0,3,1))</f>
        <v>1</v>
      </c>
      <c r="L19">
        <v>0</v>
      </c>
      <c r="M19">
        <f>IF(M12&lt;0,0,IF(M12&gt;0,3,1))</f>
        <v>1</v>
      </c>
      <c r="N19">
        <f>IF(N12&lt;0,0,IF(N12&gt;0,3,1))</f>
        <v>1</v>
      </c>
      <c r="P19">
        <f>IF(J27=J26,K19,0)</f>
        <v>1</v>
      </c>
      <c r="Q19">
        <v>0</v>
      </c>
      <c r="R19">
        <f>IF(J27=J28,M19,0)</f>
        <v>1</v>
      </c>
      <c r="S19">
        <f>IF(J27=J29,N19,0)</f>
        <v>1</v>
      </c>
      <c r="T19">
        <f>SUM(P19:S19)</f>
        <v>3</v>
      </c>
    </row>
    <row r="20" spans="1:24">
      <c r="J20" t="str">
        <f>D1</f>
        <v>Poland</v>
      </c>
      <c r="K20">
        <f>IF(K13&lt;0,0,IF(K13&gt;0,3,1))</f>
        <v>1</v>
      </c>
      <c r="L20">
        <f>IF(L13&lt;0,0,IF(L13&gt;0,3,1))</f>
        <v>1</v>
      </c>
      <c r="M20">
        <v>0</v>
      </c>
      <c r="N20">
        <f>IF(N13&lt;0,0,IF(N13&gt;0,3,1))</f>
        <v>1</v>
      </c>
      <c r="P20">
        <f>IF(J28=J26,K20,0)</f>
        <v>1</v>
      </c>
      <c r="Q20">
        <f>IF(J28=J27,L20,0)</f>
        <v>1</v>
      </c>
      <c r="R20">
        <v>0</v>
      </c>
      <c r="S20">
        <f>IF(J28=J29,N20,0)</f>
        <v>1</v>
      </c>
      <c r="T20">
        <f>SUM(P20:S20)</f>
        <v>3</v>
      </c>
    </row>
    <row r="21" spans="1:24">
      <c r="J21" t="str">
        <f>E1</f>
        <v>N Ireland</v>
      </c>
      <c r="K21">
        <f>IF(K14&lt;0,0,IF(K14&gt;0,3,1))</f>
        <v>1</v>
      </c>
      <c r="L21">
        <f>IF(L14&lt;0,0,IF(L14&gt;0,3,1))</f>
        <v>1</v>
      </c>
      <c r="M21">
        <f>IF(M14&lt;0,0,IF(M14&gt;0,3,1))</f>
        <v>1</v>
      </c>
      <c r="N21">
        <v>0</v>
      </c>
      <c r="P21">
        <f>IF(J29=J26,K21,0)</f>
        <v>1</v>
      </c>
      <c r="Q21">
        <f>IF(J29=J27,L21,0)</f>
        <v>1</v>
      </c>
      <c r="R21">
        <f>IF(J29=J28,M21,0)</f>
        <v>1</v>
      </c>
      <c r="S21">
        <v>0</v>
      </c>
      <c r="T21">
        <f>SUM(P21:S21)</f>
        <v>3</v>
      </c>
    </row>
    <row r="23" spans="1:24">
      <c r="A23" t="s">
        <v>64</v>
      </c>
      <c r="B23" t="s">
        <v>63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70</v>
      </c>
      <c r="I23" t="s">
        <v>177</v>
      </c>
      <c r="J23" t="s">
        <v>178</v>
      </c>
      <c r="K23" t="s">
        <v>179</v>
      </c>
      <c r="L23" t="s">
        <v>180</v>
      </c>
      <c r="M23" t="s">
        <v>181</v>
      </c>
      <c r="N23" t="s">
        <v>182</v>
      </c>
      <c r="O23" t="s">
        <v>183</v>
      </c>
      <c r="P23" t="s">
        <v>184</v>
      </c>
      <c r="Q23" t="s">
        <v>185</v>
      </c>
      <c r="R23" t="s">
        <v>186</v>
      </c>
      <c r="S23" t="s">
        <v>187</v>
      </c>
      <c r="T23" t="s">
        <v>188</v>
      </c>
    </row>
    <row r="24" spans="1:24">
      <c r="F24" s="8" t="s">
        <v>156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4" ht="188.25">
      <c r="A25" s="7" t="s">
        <v>195</v>
      </c>
      <c r="B25" t="s">
        <v>163</v>
      </c>
      <c r="C25" t="s">
        <v>157</v>
      </c>
      <c r="D25" t="s">
        <v>164</v>
      </c>
      <c r="E25" t="s">
        <v>165</v>
      </c>
      <c r="F25" s="6" t="s">
        <v>166</v>
      </c>
      <c r="G25" s="7" t="s">
        <v>167</v>
      </c>
      <c r="H25" s="7" t="s">
        <v>189</v>
      </c>
      <c r="I25" s="7" t="s">
        <v>168</v>
      </c>
      <c r="J25" s="7" t="s">
        <v>190</v>
      </c>
      <c r="K25" s="7" t="s">
        <v>169</v>
      </c>
      <c r="L25" s="7" t="s">
        <v>191</v>
      </c>
      <c r="M25" s="7" t="s">
        <v>170</v>
      </c>
      <c r="N25" s="7" t="s">
        <v>192</v>
      </c>
      <c r="O25" s="7" t="s">
        <v>172</v>
      </c>
      <c r="P25" s="7" t="s">
        <v>193</v>
      </c>
      <c r="Q25" s="7" t="s">
        <v>171</v>
      </c>
      <c r="R25" s="7" t="s">
        <v>194</v>
      </c>
      <c r="S25" s="7" t="s">
        <v>197</v>
      </c>
      <c r="T25" s="7" t="s">
        <v>176</v>
      </c>
      <c r="U25" s="7" t="s">
        <v>206</v>
      </c>
      <c r="V25" s="7" t="s">
        <v>207</v>
      </c>
      <c r="W25" s="7" t="s">
        <v>205</v>
      </c>
    </row>
    <row r="26" spans="1:24">
      <c r="A26" t="str">
        <f>B1</f>
        <v>Germany</v>
      </c>
      <c r="B26">
        <f>I3+I5+I7</f>
        <v>0</v>
      </c>
      <c r="C26">
        <f>E3+E5+F7</f>
        <v>0</v>
      </c>
      <c r="D26">
        <f>F3+F5+E7</f>
        <v>0</v>
      </c>
      <c r="E26">
        <f>C26-D26</f>
        <v>0</v>
      </c>
      <c r="F26">
        <f>G3+G5+H7</f>
        <v>0</v>
      </c>
      <c r="G26">
        <f>E26/100</f>
        <v>0</v>
      </c>
      <c r="H26">
        <f>F26+G26</f>
        <v>0</v>
      </c>
      <c r="I26">
        <f>C26/10000</f>
        <v>0</v>
      </c>
      <c r="J26">
        <f>H26+I26</f>
        <v>0</v>
      </c>
      <c r="K26">
        <f>T18/100000</f>
        <v>3.0000000000000001E-5</v>
      </c>
      <c r="L26">
        <f>J26+K26</f>
        <v>3.0000000000000001E-5</v>
      </c>
      <c r="M26">
        <f>T11/1000000</f>
        <v>0</v>
      </c>
      <c r="N26">
        <f>L26+M26</f>
        <v>3.0000000000000001E-5</v>
      </c>
      <c r="O26">
        <f>T4/10000000</f>
        <v>0</v>
      </c>
      <c r="P26">
        <f>N26+O26</f>
        <v>3.0000000000000001E-5</v>
      </c>
      <c r="Q26" s="17">
        <f>IF(W28&gt;0,IF(A26=GrpC!I12,0.00000004,IF(A26=GrpC!I13,0.00000003,IF(A26=GrpC!I14,0.00000002,0.00000001))),0)</f>
        <v>0</v>
      </c>
      <c r="R26">
        <f>Q26+P26+0.000000004</f>
        <v>3.0003999999999999E-5</v>
      </c>
      <c r="S26">
        <f>RANK(R26,R$26:R$29)</f>
        <v>1</v>
      </c>
      <c r="T26">
        <f>ROUND(R26,0)</f>
        <v>0</v>
      </c>
      <c r="U26">
        <f>P26</f>
        <v>3.0000000000000001E-5</v>
      </c>
      <c r="V26">
        <f>RANK(P26,U$26:U$29)</f>
        <v>1</v>
      </c>
      <c r="W26">
        <f>COUNTIF(V26:V29,1)-1</f>
        <v>3</v>
      </c>
      <c r="X26" t="str">
        <f>IF(W$28&gt;0,A26,"")</f>
        <v/>
      </c>
    </row>
    <row r="27" spans="1:24">
      <c r="A27" t="str">
        <f>C1</f>
        <v>Ukraine</v>
      </c>
      <c r="B27">
        <f>I3+I6+I8</f>
        <v>0</v>
      </c>
      <c r="C27">
        <f>F3+E6+F8</f>
        <v>0</v>
      </c>
      <c r="D27">
        <f>E3+F6+E8</f>
        <v>0</v>
      </c>
      <c r="E27">
        <f>C27-D27</f>
        <v>0</v>
      </c>
      <c r="F27">
        <f>H3+G6+H8</f>
        <v>0</v>
      </c>
      <c r="G27">
        <f>E27/100</f>
        <v>0</v>
      </c>
      <c r="H27">
        <f>F27+G27</f>
        <v>0</v>
      </c>
      <c r="I27">
        <f>C27/10000</f>
        <v>0</v>
      </c>
      <c r="J27">
        <f>H27+I27</f>
        <v>0</v>
      </c>
      <c r="K27">
        <f>T19/100000</f>
        <v>3.0000000000000001E-5</v>
      </c>
      <c r="L27">
        <f>J27+K27</f>
        <v>3.0000000000000001E-5</v>
      </c>
      <c r="M27">
        <f>T12/1000000</f>
        <v>0</v>
      </c>
      <c r="N27">
        <f>L27+M27</f>
        <v>3.0000000000000001E-5</v>
      </c>
      <c r="O27">
        <f>T5/10000000</f>
        <v>0</v>
      </c>
      <c r="P27">
        <f>N27+O27</f>
        <v>3.0000000000000001E-5</v>
      </c>
      <c r="Q27" s="17">
        <f>IF(W28&gt;0,IF(A27=GrpC!I12,0.00000004,IF(A27=GrpC!I13,0.00000003,IF(A27=GrpC!I14,0.00000002,0.00000001))),0)</f>
        <v>0</v>
      </c>
      <c r="R27">
        <f>Q27+P27+0.000000003</f>
        <v>3.0003000000000001E-5</v>
      </c>
      <c r="S27">
        <f>RANK(R27,R$26:R$29)</f>
        <v>2</v>
      </c>
      <c r="T27">
        <f>ROUND(R27,0)</f>
        <v>0</v>
      </c>
      <c r="U27">
        <f>P27</f>
        <v>3.0000000000000001E-5</v>
      </c>
      <c r="V27">
        <f>RANK(U27,U$26:U$29)</f>
        <v>1</v>
      </c>
      <c r="W27">
        <f>MAX(0,COUNTIF(V26:V29,2)-1)</f>
        <v>0</v>
      </c>
      <c r="X27" t="str">
        <f>IF(W$28&gt;0,A27,"")</f>
        <v/>
      </c>
    </row>
    <row r="28" spans="1:24">
      <c r="A28" t="str">
        <f>D1</f>
        <v>Poland</v>
      </c>
      <c r="B28">
        <f>I4+I5+I8</f>
        <v>0</v>
      </c>
      <c r="C28">
        <f>E4+F5+E8</f>
        <v>0</v>
      </c>
      <c r="D28">
        <f>F4+E5+F8</f>
        <v>0</v>
      </c>
      <c r="E28">
        <f>C28-D28</f>
        <v>0</v>
      </c>
      <c r="F28">
        <f>G4+H5+G8</f>
        <v>0</v>
      </c>
      <c r="G28">
        <f>E28/100</f>
        <v>0</v>
      </c>
      <c r="H28">
        <f>F28+G28</f>
        <v>0</v>
      </c>
      <c r="I28">
        <f>C28/10000</f>
        <v>0</v>
      </c>
      <c r="J28">
        <f>H28+I28</f>
        <v>0</v>
      </c>
      <c r="K28">
        <f>T20/100000</f>
        <v>3.0000000000000001E-5</v>
      </c>
      <c r="L28">
        <f>J28+K28</f>
        <v>3.0000000000000001E-5</v>
      </c>
      <c r="M28">
        <f>T13/1000000</f>
        <v>0</v>
      </c>
      <c r="N28">
        <f>L28+M28</f>
        <v>3.0000000000000001E-5</v>
      </c>
      <c r="O28">
        <f>T6/10000000</f>
        <v>0</v>
      </c>
      <c r="P28">
        <f>N28+O28</f>
        <v>3.0000000000000001E-5</v>
      </c>
      <c r="Q28" s="17">
        <f>IF(W28&gt;0,IF(A28=GrpC!I12,0.00000004,IF(A28=GrpC!I13,0.00000003,IF(A28=GrpC!I14,0.00000002,0.00000001))),0)</f>
        <v>0</v>
      </c>
      <c r="R28">
        <f>Q28+P28+0.000000002</f>
        <v>3.0002000000000002E-5</v>
      </c>
      <c r="S28">
        <f>RANK(R28,R$26:R$29)</f>
        <v>3</v>
      </c>
      <c r="T28">
        <f>ROUND(R28,0)</f>
        <v>0</v>
      </c>
      <c r="U28">
        <f>P28</f>
        <v>3.0000000000000001E-5</v>
      </c>
      <c r="V28">
        <f>RANK(U28,U$26:U$29)</f>
        <v>1</v>
      </c>
      <c r="W28">
        <f>IF(SUM(I3:I8)=6,SUM(W26:W27),0)</f>
        <v>0</v>
      </c>
      <c r="X28" t="str">
        <f>IF(W$28&gt;0,A28,"")</f>
        <v/>
      </c>
    </row>
    <row r="29" spans="1:24">
      <c r="A29" t="str">
        <f>E1</f>
        <v>N Ireland</v>
      </c>
      <c r="B29">
        <f>I4+I6+I7</f>
        <v>0</v>
      </c>
      <c r="C29">
        <f>F4+F6+E7</f>
        <v>0</v>
      </c>
      <c r="D29">
        <f>E4+E6+F7</f>
        <v>0</v>
      </c>
      <c r="E29">
        <f>C29-D29</f>
        <v>0</v>
      </c>
      <c r="F29">
        <f>H4+H6+G7</f>
        <v>0</v>
      </c>
      <c r="G29">
        <f>E29/100</f>
        <v>0</v>
      </c>
      <c r="H29">
        <f>F29+G29</f>
        <v>0</v>
      </c>
      <c r="I29">
        <f>C29/10000</f>
        <v>0</v>
      </c>
      <c r="J29">
        <f>H29+I29</f>
        <v>0</v>
      </c>
      <c r="K29">
        <f>T21/100000</f>
        <v>3.0000000000000001E-5</v>
      </c>
      <c r="L29">
        <f>J29+K29</f>
        <v>3.0000000000000001E-5</v>
      </c>
      <c r="M29">
        <f>T14/1000000</f>
        <v>0</v>
      </c>
      <c r="N29">
        <f>L29+M29</f>
        <v>3.0000000000000001E-5</v>
      </c>
      <c r="O29">
        <f>T7/10000000</f>
        <v>0</v>
      </c>
      <c r="P29">
        <f>N29+O29</f>
        <v>3.0000000000000001E-5</v>
      </c>
      <c r="Q29" s="17">
        <f>IF(W28&gt;0,IF(A29=GrpC!I12,0.00000004,IF(A29=GrpC!I13,0.00000003,IF(A29=GrpC!I14,0.00000002,0.00000001))),0)</f>
        <v>0</v>
      </c>
      <c r="R29">
        <f>Q29+P29+0.000000001</f>
        <v>3.0001E-5</v>
      </c>
      <c r="S29">
        <f>RANK(R29,R$26:R$29)</f>
        <v>4</v>
      </c>
      <c r="T29">
        <f>ROUND(R29,0)</f>
        <v>0</v>
      </c>
      <c r="U29">
        <f>P29</f>
        <v>3.0000000000000001E-5</v>
      </c>
      <c r="V29">
        <f>RANK(U29,U$26:U$29)</f>
        <v>1</v>
      </c>
      <c r="X29" t="str">
        <f>IF(W$28&gt;0,A29,"")</f>
        <v/>
      </c>
    </row>
    <row r="31" spans="1:24">
      <c r="A31" t="str">
        <f t="shared" ref="A31:E31" si="2">A23</f>
        <v>A</v>
      </c>
      <c r="B31" t="str">
        <f t="shared" si="2"/>
        <v>B</v>
      </c>
      <c r="C31" t="str">
        <f t="shared" si="2"/>
        <v>C</v>
      </c>
      <c r="D31" t="str">
        <f t="shared" si="2"/>
        <v>D</v>
      </c>
      <c r="E31" t="str">
        <f t="shared" si="2"/>
        <v>E</v>
      </c>
      <c r="F31" t="str">
        <f>F23</f>
        <v>F</v>
      </c>
      <c r="G31" t="str">
        <f t="shared" ref="G31:T31" si="3">G23</f>
        <v>G</v>
      </c>
      <c r="H31" t="str">
        <f t="shared" si="3"/>
        <v>H</v>
      </c>
      <c r="I31" t="str">
        <f t="shared" si="3"/>
        <v>I</v>
      </c>
      <c r="J31" t="str">
        <f t="shared" si="3"/>
        <v>J</v>
      </c>
      <c r="K31" t="str">
        <f t="shared" si="3"/>
        <v>K</v>
      </c>
      <c r="L31" t="str">
        <f t="shared" si="3"/>
        <v>L</v>
      </c>
      <c r="M31" t="str">
        <f t="shared" si="3"/>
        <v>M</v>
      </c>
      <c r="N31" t="str">
        <f t="shared" si="3"/>
        <v>N</v>
      </c>
      <c r="O31" t="str">
        <f t="shared" si="3"/>
        <v>O</v>
      </c>
      <c r="P31" t="str">
        <f t="shared" si="3"/>
        <v>P</v>
      </c>
      <c r="Q31" t="str">
        <f t="shared" si="3"/>
        <v>Q</v>
      </c>
      <c r="R31" t="str">
        <f t="shared" si="3"/>
        <v>R</v>
      </c>
      <c r="S31" t="str">
        <f t="shared" si="3"/>
        <v>S</v>
      </c>
      <c r="T31" t="str">
        <f t="shared" si="3"/>
        <v>T</v>
      </c>
    </row>
  </sheetData>
  <mergeCells count="1">
    <mergeCell ref="K2:N2"/>
  </mergeCells>
  <dataValidations count="1">
    <dataValidation allowBlank="1" showErrorMessage="1" prompt="Used for Fifa lots if requried" sqref="I12:I15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5"/>
  <dimension ref="A1:X31"/>
  <sheetViews>
    <sheetView workbookViewId="0">
      <selection activeCell="E8" sqref="E8:I8"/>
    </sheetView>
  </sheetViews>
  <sheetFormatPr defaultRowHeight="15"/>
  <cols>
    <col min="9" max="9" width="9" bestFit="1" customWidth="1"/>
    <col min="10" max="10" width="11.7109375" bestFit="1" customWidth="1"/>
    <col min="11" max="11" width="11" customWidth="1"/>
    <col min="12" max="14" width="8.42578125" bestFit="1" customWidth="1"/>
    <col min="15" max="15" width="10" bestFit="1" customWidth="1"/>
    <col min="17" max="17" width="12" bestFit="1" customWidth="1"/>
  </cols>
  <sheetData>
    <row r="1" spans="1:20">
      <c r="B1" s="17" t="str">
        <f>Config!C6</f>
        <v>England</v>
      </c>
      <c r="C1" s="17" t="str">
        <f>Config!C7</f>
        <v>Russia</v>
      </c>
      <c r="D1" s="17" t="str">
        <f>Config!C8</f>
        <v>Wales</v>
      </c>
      <c r="E1" s="17" t="str">
        <f>Config!C9</f>
        <v>Slovakia</v>
      </c>
      <c r="K1" t="s">
        <v>173</v>
      </c>
    </row>
    <row r="2" spans="1:20">
      <c r="B2" t="s">
        <v>201</v>
      </c>
      <c r="D2" t="s">
        <v>202</v>
      </c>
      <c r="E2" t="s">
        <v>199</v>
      </c>
      <c r="F2" t="s">
        <v>200</v>
      </c>
      <c r="G2" t="s">
        <v>159</v>
      </c>
      <c r="H2" t="s">
        <v>203</v>
      </c>
      <c r="I2" t="s">
        <v>204</v>
      </c>
      <c r="K2" s="215" t="s">
        <v>160</v>
      </c>
      <c r="L2" s="215"/>
      <c r="M2" s="215"/>
      <c r="N2" s="215"/>
    </row>
    <row r="3" spans="1:20">
      <c r="A3">
        <v>1</v>
      </c>
      <c r="B3" t="str">
        <f>B1</f>
        <v>England</v>
      </c>
      <c r="C3" t="s">
        <v>161</v>
      </c>
      <c r="D3" t="str">
        <f>C1</f>
        <v>Russia</v>
      </c>
      <c r="E3" s="16">
        <f>Wallchart!H16</f>
        <v>0</v>
      </c>
      <c r="F3" s="16">
        <f>Wallchart!I16</f>
        <v>0</v>
      </c>
      <c r="G3" s="17">
        <f>IF(I3=0,0,IF(E3&lt;F3,0,IF(E3&gt;F3,3,1)))</f>
        <v>0</v>
      </c>
      <c r="H3" s="17">
        <f>IF(I3=0,0,IF(F3&lt;E3,0,IF(F3&gt;E3,3,1)))</f>
        <v>0</v>
      </c>
      <c r="I3" s="16">
        <f>IF(ISBLANK(Wallchart!H16)=TRUE,0,IF(ISBLANK(Wallchart!I16)=TRUE,0,1))</f>
        <v>0</v>
      </c>
      <c r="K3" t="str">
        <f>B1</f>
        <v>England</v>
      </c>
      <c r="L3" t="str">
        <f>C1</f>
        <v>Russia</v>
      </c>
      <c r="M3" t="str">
        <f>D1</f>
        <v>Wales</v>
      </c>
      <c r="N3" t="str">
        <f>E1</f>
        <v>Slovakia</v>
      </c>
      <c r="P3" s="5" t="str">
        <f>B1</f>
        <v>England</v>
      </c>
      <c r="Q3" s="5" t="str">
        <f>C1</f>
        <v>Russia</v>
      </c>
      <c r="R3" s="5" t="str">
        <f>D1</f>
        <v>Wales</v>
      </c>
      <c r="S3" s="5" t="str">
        <f>E1</f>
        <v>Slovakia</v>
      </c>
      <c r="T3" s="5" t="s">
        <v>162</v>
      </c>
    </row>
    <row r="4" spans="1:20">
      <c r="A4">
        <v>2</v>
      </c>
      <c r="B4" t="str">
        <f>D1</f>
        <v>Wales</v>
      </c>
      <c r="C4" t="s">
        <v>161</v>
      </c>
      <c r="D4" t="str">
        <f>E1</f>
        <v>Slovakia</v>
      </c>
      <c r="E4" s="16">
        <f>Wallchart!H15</f>
        <v>0</v>
      </c>
      <c r="F4" s="16">
        <f>Wallchart!I15</f>
        <v>0</v>
      </c>
      <c r="G4" s="17">
        <f t="shared" ref="G4:G8" si="0">IF(I4=0,0,IF(E4&lt;F4,0,IF(E4&gt;F4,3,1)))</f>
        <v>0</v>
      </c>
      <c r="H4" s="17">
        <f t="shared" ref="H4:H8" si="1">IF(I4=0,0,IF(F4&lt;E4,0,IF(F4&gt;E4,3,1)))</f>
        <v>0</v>
      </c>
      <c r="I4" s="16">
        <f>IF(ISBLANK(Wallchart!H15)=TRUE,0,IF(ISBLANK(Wallchart!I15)=TRUE,0,1))</f>
        <v>0</v>
      </c>
      <c r="J4" t="str">
        <f>B1</f>
        <v>England</v>
      </c>
      <c r="K4">
        <v>0</v>
      </c>
      <c r="L4">
        <f>E3</f>
        <v>0</v>
      </c>
      <c r="M4">
        <f>E5</f>
        <v>0</v>
      </c>
      <c r="N4">
        <f>F7</f>
        <v>0</v>
      </c>
      <c r="P4">
        <v>0</v>
      </c>
      <c r="Q4">
        <f>IF(N26=N27,L4,0)</f>
        <v>0</v>
      </c>
      <c r="R4">
        <f>IF(N26=N28,M4,0)</f>
        <v>0</v>
      </c>
      <c r="S4">
        <f>IF(N26=N29,N4,0)</f>
        <v>0</v>
      </c>
      <c r="T4">
        <f>SUM(P4:S4)</f>
        <v>0</v>
      </c>
    </row>
    <row r="5" spans="1:20">
      <c r="A5">
        <v>3</v>
      </c>
      <c r="B5" t="str">
        <f>B1</f>
        <v>England</v>
      </c>
      <c r="C5" t="s">
        <v>161</v>
      </c>
      <c r="D5" t="str">
        <f>D1</f>
        <v>Wales</v>
      </c>
      <c r="E5" s="16">
        <f>Wallchart!H28</f>
        <v>0</v>
      </c>
      <c r="F5" s="16">
        <f>Wallchart!I28</f>
        <v>0</v>
      </c>
      <c r="G5" s="17">
        <f t="shared" si="0"/>
        <v>0</v>
      </c>
      <c r="H5" s="17">
        <f t="shared" si="1"/>
        <v>0</v>
      </c>
      <c r="I5" s="16">
        <f>IF(ISBLANK(Wallchart!H28)=TRUE,0,IF(ISBLANK(Wallchart!I28)=TRUE,0,1))</f>
        <v>0</v>
      </c>
      <c r="J5" t="str">
        <f>C1</f>
        <v>Russia</v>
      </c>
      <c r="K5">
        <f>F3</f>
        <v>0</v>
      </c>
      <c r="L5">
        <v>0</v>
      </c>
      <c r="M5">
        <f>F8</f>
        <v>0</v>
      </c>
      <c r="N5">
        <f>E6</f>
        <v>0</v>
      </c>
      <c r="P5">
        <f>IF(N27=N26,K5,0)</f>
        <v>0</v>
      </c>
      <c r="Q5">
        <v>0</v>
      </c>
      <c r="R5">
        <f>IF(N27=N28,M5,0)</f>
        <v>0</v>
      </c>
      <c r="S5">
        <f>IF(N27=N29,N5,0)</f>
        <v>0</v>
      </c>
      <c r="T5">
        <f>SUM(P5:S5)</f>
        <v>0</v>
      </c>
    </row>
    <row r="6" spans="1:20">
      <c r="A6">
        <v>4</v>
      </c>
      <c r="B6" t="str">
        <f>C1</f>
        <v>Russia</v>
      </c>
      <c r="C6" t="s">
        <v>161</v>
      </c>
      <c r="D6" t="str">
        <f>E1</f>
        <v>Slovakia</v>
      </c>
      <c r="E6" s="16">
        <f>Wallchart!H25</f>
        <v>0</v>
      </c>
      <c r="F6" s="16">
        <f>Wallchart!I25</f>
        <v>0</v>
      </c>
      <c r="G6" s="17">
        <f t="shared" si="0"/>
        <v>0</v>
      </c>
      <c r="H6" s="17">
        <f t="shared" si="1"/>
        <v>0</v>
      </c>
      <c r="I6" s="16">
        <f>IF(ISBLANK(Wallchart!H25)=TRUE,0,IF(ISBLANK(Wallchart!I25)=TRUE,0,1))</f>
        <v>0</v>
      </c>
      <c r="J6" t="str">
        <f>D1</f>
        <v>Wales</v>
      </c>
      <c r="K6">
        <f>F5</f>
        <v>0</v>
      </c>
      <c r="L6">
        <f>E8</f>
        <v>0</v>
      </c>
      <c r="M6">
        <v>0</v>
      </c>
      <c r="N6">
        <f>E4</f>
        <v>0</v>
      </c>
      <c r="P6">
        <f>IF(N28=N26,K6,0)</f>
        <v>0</v>
      </c>
      <c r="Q6">
        <f>IF(N28=N27,L6,0)</f>
        <v>0</v>
      </c>
      <c r="R6">
        <v>0</v>
      </c>
      <c r="S6">
        <f>IF(N28=N29,N6,0)</f>
        <v>0</v>
      </c>
      <c r="T6">
        <f>SUM(P6:S6)</f>
        <v>0</v>
      </c>
    </row>
    <row r="7" spans="1:20">
      <c r="A7">
        <v>5</v>
      </c>
      <c r="B7" t="str">
        <f>E1</f>
        <v>Slovakia</v>
      </c>
      <c r="C7" t="s">
        <v>161</v>
      </c>
      <c r="D7" t="str">
        <f>B1</f>
        <v>England</v>
      </c>
      <c r="E7" s="16">
        <f>Wallchart!H40</f>
        <v>0</v>
      </c>
      <c r="F7" s="16">
        <f>Wallchart!I40</f>
        <v>0</v>
      </c>
      <c r="G7" s="17">
        <f t="shared" si="0"/>
        <v>0</v>
      </c>
      <c r="H7" s="17">
        <f t="shared" si="1"/>
        <v>0</v>
      </c>
      <c r="I7" s="16">
        <f>IF(ISBLANK(Wallchart!H40)=TRUE,0,IF(ISBLANK(Wallchart!I40)=TRUE,0,1))</f>
        <v>0</v>
      </c>
      <c r="J7" t="str">
        <f>E1</f>
        <v>Slovakia</v>
      </c>
      <c r="K7">
        <f>E7</f>
        <v>0</v>
      </c>
      <c r="L7">
        <f>F6</f>
        <v>0</v>
      </c>
      <c r="M7">
        <f>F4</f>
        <v>0</v>
      </c>
      <c r="N7">
        <v>0</v>
      </c>
      <c r="P7">
        <f>IF(N29=N26,K7,0)</f>
        <v>0</v>
      </c>
      <c r="Q7">
        <f>IF(N29=N27,L7,0)</f>
        <v>0</v>
      </c>
      <c r="R7">
        <f>IF(N29=N28,M7,0)</f>
        <v>0</v>
      </c>
      <c r="S7">
        <v>0</v>
      </c>
      <c r="T7">
        <f>SUM(P7:S7)</f>
        <v>0</v>
      </c>
    </row>
    <row r="8" spans="1:20">
      <c r="A8">
        <v>6</v>
      </c>
      <c r="B8" t="str">
        <f>D1</f>
        <v>Wales</v>
      </c>
      <c r="C8" t="s">
        <v>161</v>
      </c>
      <c r="D8" t="str">
        <f>C1</f>
        <v>Russia</v>
      </c>
      <c r="E8" s="16">
        <f>Wallchart!I39</f>
        <v>0</v>
      </c>
      <c r="F8" s="16">
        <f>Wallchart!H39</f>
        <v>0</v>
      </c>
      <c r="G8" s="17">
        <f t="shared" si="0"/>
        <v>0</v>
      </c>
      <c r="H8" s="17">
        <f t="shared" si="1"/>
        <v>0</v>
      </c>
      <c r="I8" s="16">
        <f>IF(ISBLANK(Wallchart!H39)=TRUE,0,IF(ISBLANK(Wallchart!I39)=TRUE,0,1))</f>
        <v>0</v>
      </c>
    </row>
    <row r="9" spans="1:20">
      <c r="I9" s="20"/>
      <c r="K9" t="s">
        <v>174</v>
      </c>
    </row>
    <row r="10" spans="1:20" ht="15.75" thickBot="1">
      <c r="K10" t="str">
        <f>B1</f>
        <v>England</v>
      </c>
      <c r="L10" t="str">
        <f>C1</f>
        <v>Russia</v>
      </c>
      <c r="M10" t="str">
        <f>D1</f>
        <v>Wales</v>
      </c>
      <c r="N10" t="str">
        <f>E1</f>
        <v>Slovakia</v>
      </c>
      <c r="P10" s="5" t="str">
        <f>B1</f>
        <v>England</v>
      </c>
      <c r="Q10" s="5" t="str">
        <f>C1</f>
        <v>Russia</v>
      </c>
      <c r="R10" s="5" t="str">
        <f>D1</f>
        <v>Wales</v>
      </c>
      <c r="S10" s="5" t="str">
        <f>E1</f>
        <v>Slovakia</v>
      </c>
      <c r="T10" s="5" t="s">
        <v>162</v>
      </c>
    </row>
    <row r="11" spans="1:20">
      <c r="B11" s="9" t="s">
        <v>196</v>
      </c>
      <c r="C11" s="10" t="s">
        <v>195</v>
      </c>
      <c r="D11" s="11" t="s">
        <v>163</v>
      </c>
      <c r="E11" s="11" t="s">
        <v>157</v>
      </c>
      <c r="F11" s="11" t="s">
        <v>164</v>
      </c>
      <c r="G11" s="11" t="s">
        <v>165</v>
      </c>
      <c r="H11" s="11" t="s">
        <v>156</v>
      </c>
      <c r="I11" s="18" t="s">
        <v>198</v>
      </c>
      <c r="J11" t="str">
        <f>B1</f>
        <v>England</v>
      </c>
      <c r="K11">
        <v>0</v>
      </c>
      <c r="L11">
        <f>L4-K5</f>
        <v>0</v>
      </c>
      <c r="M11">
        <f>M4-K6</f>
        <v>0</v>
      </c>
      <c r="N11">
        <f>N4-K7</f>
        <v>0</v>
      </c>
      <c r="P11">
        <v>0</v>
      </c>
      <c r="Q11">
        <f>IF(L26=L27,L11,0)</f>
        <v>0</v>
      </c>
      <c r="R11">
        <f>IF(L26=L28,M11,0)</f>
        <v>0</v>
      </c>
      <c r="S11">
        <f>IF(L26=L29,N11,0)</f>
        <v>0</v>
      </c>
      <c r="T11">
        <f>SUM(P11:S11)</f>
        <v>0</v>
      </c>
    </row>
    <row r="12" spans="1:20">
      <c r="B12" s="12">
        <v>1</v>
      </c>
      <c r="C12" s="13" t="str">
        <f>IF(S$26=1,A$26,IF(S$27=1,A$27,IF(S$28=1,A$28,A$29)))</f>
        <v>England</v>
      </c>
      <c r="D12" s="13">
        <f>IF(S$26=1,B$26,IF(S$27=1,B$27,IF(S$28=1,B$28,B$29)))</f>
        <v>0</v>
      </c>
      <c r="E12" s="13">
        <f>IF(S$26=1,C$26,IF(S$27=1,C$27,IF(S$28=1,C$28,C$29)))</f>
        <v>0</v>
      </c>
      <c r="F12" s="13">
        <f>IF(S$26=1,D$26,IF(S$27=1,D$27,IF(S$28=1,D$28,D$29)))</f>
        <v>0</v>
      </c>
      <c r="G12" s="13">
        <f>IF(S$26=1,E$26,IF(S$27=1,E$27,IF(S$28=1,E$28,E$29)))</f>
        <v>0</v>
      </c>
      <c r="H12" s="13">
        <f>IF(S$26=1,T$26,IF(S$27=1,T$27,IF(S$28=1,T$28,T$29)))</f>
        <v>0</v>
      </c>
      <c r="I12" s="21"/>
      <c r="J12" t="str">
        <f>C1</f>
        <v>Russia</v>
      </c>
      <c r="K12">
        <f>K5-L4</f>
        <v>0</v>
      </c>
      <c r="L12">
        <v>0</v>
      </c>
      <c r="M12">
        <f>M5-L6</f>
        <v>0</v>
      </c>
      <c r="N12">
        <f>N5-L7</f>
        <v>0</v>
      </c>
      <c r="P12">
        <f>IF(L27=L26,K12,0)</f>
        <v>0</v>
      </c>
      <c r="Q12">
        <v>0</v>
      </c>
      <c r="R12">
        <f>IF(L27=L28,M12,0)</f>
        <v>0</v>
      </c>
      <c r="S12">
        <f>IF(L27=L29,N12,0)</f>
        <v>0</v>
      </c>
      <c r="T12">
        <f>SUM(P12:S12)</f>
        <v>0</v>
      </c>
    </row>
    <row r="13" spans="1:20">
      <c r="B13" s="12">
        <v>2</v>
      </c>
      <c r="C13" s="13" t="str">
        <f>IF(S$26=2,A$26,IF(S$27=2,A$27,IF(S$28=2,A$28,A$29)))</f>
        <v>Russia</v>
      </c>
      <c r="D13" s="13">
        <f>IF(S$26=2,B$26,IF(S$27=2,B$27,IF(S$28=2,B$28,B$29)))</f>
        <v>0</v>
      </c>
      <c r="E13" s="13">
        <f>IF(S$26=2,C$26,IF(S$27=2,C$27,IF(S$28=2,C$28,C$29)))</f>
        <v>0</v>
      </c>
      <c r="F13" s="13">
        <f>IF(S$26=2,D$26,IF(S$27=2,D$27,IF(S$28=2,D$28,D$29)))</f>
        <v>0</v>
      </c>
      <c r="G13" s="13">
        <f>IF(S$26=2,E$26,IF(S$27=2,E$27,IF(S$28=2,E$28,E$29)))</f>
        <v>0</v>
      </c>
      <c r="H13" s="13">
        <f>IF(S$26=2,T$26,IF(S$27=2,T$27,IF(S$28=2,T$28,T$29)))</f>
        <v>0</v>
      </c>
      <c r="I13" s="21"/>
      <c r="J13" t="str">
        <f>D1</f>
        <v>Wales</v>
      </c>
      <c r="K13">
        <f>K6-M4</f>
        <v>0</v>
      </c>
      <c r="L13">
        <f>L6-M5</f>
        <v>0</v>
      </c>
      <c r="M13">
        <v>0</v>
      </c>
      <c r="N13">
        <f>N6-M7</f>
        <v>0</v>
      </c>
      <c r="P13">
        <f>IF(L28=L26,K13,0)</f>
        <v>0</v>
      </c>
      <c r="Q13">
        <f>IF(L28=L27,L13,0)</f>
        <v>0</v>
      </c>
      <c r="R13">
        <v>0</v>
      </c>
      <c r="S13">
        <f>IF(L28=L29,N13,0)</f>
        <v>0</v>
      </c>
      <c r="T13">
        <f>SUM(P13:S13)</f>
        <v>0</v>
      </c>
    </row>
    <row r="14" spans="1:20">
      <c r="B14" s="12">
        <v>3</v>
      </c>
      <c r="C14" s="13" t="str">
        <f>IF(S$26=3,A$26,IF(S$27=3,A$27,IF(S$28=3,A$28,A$29)))</f>
        <v>Wales</v>
      </c>
      <c r="D14" s="13">
        <f>IF(S$26=3,B$26,IF(S$27=3,B$27,IF(S$28=3,B$28,B$29)))</f>
        <v>0</v>
      </c>
      <c r="E14" s="13">
        <f>IF(S$26=3,C$26,IF(S$27=3,C$27,IF(S$28=3,C$28,C$29)))</f>
        <v>0</v>
      </c>
      <c r="F14" s="13">
        <f>IF(S$26=3,D$26,IF(S$27=3,D$27,IF(S$28=3,D$28,D$29)))</f>
        <v>0</v>
      </c>
      <c r="G14" s="13">
        <f>IF(S$26=3,E$26,IF(S$27=3,E$27,IF(S$28=3,E$28,E$29)))</f>
        <v>0</v>
      </c>
      <c r="H14" s="13">
        <f>IF(S$26=3,T$26,IF(S$27=3,T$27,IF(S$28=3,T$28,T$29)))</f>
        <v>0</v>
      </c>
      <c r="I14" s="21"/>
      <c r="J14" t="str">
        <f>E1</f>
        <v>Slovakia</v>
      </c>
      <c r="K14">
        <f>K7-N4</f>
        <v>0</v>
      </c>
      <c r="L14">
        <f>L7-N5</f>
        <v>0</v>
      </c>
      <c r="M14">
        <f>M7-N6</f>
        <v>0</v>
      </c>
      <c r="N14">
        <v>0</v>
      </c>
      <c r="P14">
        <f>IF(L29=L26,K14,0)</f>
        <v>0</v>
      </c>
      <c r="Q14">
        <f>IF(L29=L27,L14,0)</f>
        <v>0</v>
      </c>
      <c r="R14">
        <f>IF(L29=L28,M14,0)</f>
        <v>0</v>
      </c>
      <c r="S14">
        <v>0</v>
      </c>
      <c r="T14">
        <f>SUM(P14:S14)</f>
        <v>0</v>
      </c>
    </row>
    <row r="15" spans="1:20" ht="15.75" thickBot="1">
      <c r="B15" s="14">
        <v>4</v>
      </c>
      <c r="C15" s="15" t="str">
        <f>IF(S$26=4,A$26,IF(S$27=4,A$27,IF(S$28=4,A$28,A$29)))</f>
        <v>Slovakia</v>
      </c>
      <c r="D15" s="15">
        <f>IF(S$26=4,B$26,IF(S$27=4,B$27,IF(S$28=4,B$28,B$29)))</f>
        <v>0</v>
      </c>
      <c r="E15" s="15">
        <f>IF(S$26=4,C$26,IF(S$27=4,C$27,IF(S$28=4,C$28,C$29)))</f>
        <v>0</v>
      </c>
      <c r="F15" s="15">
        <f>IF(S$26=4,D$26,IF(S$27=4,D$27,IF(S$28=4,D$28,D$29)))</f>
        <v>0</v>
      </c>
      <c r="G15" s="15">
        <f>IF(S$26=4,E$26,IF(S$27=4,E$27,IF(S$28=4,E$28,E$29)))</f>
        <v>0</v>
      </c>
      <c r="H15" s="15">
        <f>IF(S$26=4,T$26,IF(S$27=4,T$27,IF(S$28=4,T$28,T$29)))</f>
        <v>0</v>
      </c>
      <c r="I15" s="21"/>
    </row>
    <row r="16" spans="1:20" ht="15.75" thickBot="1">
      <c r="I16" s="19" t="str">
        <f>IF(SUM(I3:I8)=6,IF(GrpB!W28&gt;0,IF(I12=I13,"Duplicate",IF(I12=I14,"Duplicate",IF(I12=I15,"Duplicate",IF(I13=I14,"Duplicate",IF(I13=I15,"Duplcate",IF(I14=I15,"Duplicate","")))))),""),"")</f>
        <v/>
      </c>
      <c r="K16" t="s">
        <v>175</v>
      </c>
    </row>
    <row r="17" spans="1:24">
      <c r="K17" t="str">
        <f>B1</f>
        <v>England</v>
      </c>
      <c r="L17" t="str">
        <f>C1</f>
        <v>Russia</v>
      </c>
      <c r="M17" t="str">
        <f>D1</f>
        <v>Wales</v>
      </c>
      <c r="N17" t="str">
        <f>E1</f>
        <v>Slovakia</v>
      </c>
      <c r="P17" s="5" t="str">
        <f>B1</f>
        <v>England</v>
      </c>
      <c r="Q17" s="5" t="str">
        <f>C1</f>
        <v>Russia</v>
      </c>
      <c r="R17" s="5" t="str">
        <f>D1</f>
        <v>Wales</v>
      </c>
      <c r="S17" s="5" t="str">
        <f>E1</f>
        <v>Slovakia</v>
      </c>
      <c r="T17" s="5" t="s">
        <v>162</v>
      </c>
    </row>
    <row r="18" spans="1:24">
      <c r="J18" t="str">
        <f>B1</f>
        <v>England</v>
      </c>
      <c r="K18">
        <v>0</v>
      </c>
      <c r="L18">
        <f>IF(L11&lt;0,0,IF(L11&gt;0,3,1))</f>
        <v>1</v>
      </c>
      <c r="M18">
        <f>IF(M11&lt;0,0,IF(M11&gt;0,3,1))</f>
        <v>1</v>
      </c>
      <c r="N18">
        <f>IF(N11&lt;0,0,IF(N11&gt;0,3,1))</f>
        <v>1</v>
      </c>
      <c r="P18">
        <v>0</v>
      </c>
      <c r="Q18">
        <f>IF(J26=J27,L18,0)</f>
        <v>1</v>
      </c>
      <c r="R18">
        <f>IF(J26=J28,M18,0)</f>
        <v>1</v>
      </c>
      <c r="S18">
        <f>IF(J26=J29,N18,0)</f>
        <v>1</v>
      </c>
      <c r="T18">
        <f>SUM(P18:S18)</f>
        <v>3</v>
      </c>
    </row>
    <row r="19" spans="1:24">
      <c r="J19" t="str">
        <f>C1</f>
        <v>Russia</v>
      </c>
      <c r="K19">
        <f>IF(K12&lt;0,0,IF(K12&gt;0,3,1))</f>
        <v>1</v>
      </c>
      <c r="L19">
        <v>0</v>
      </c>
      <c r="M19">
        <f>IF(M12&lt;0,0,IF(M12&gt;0,3,1))</f>
        <v>1</v>
      </c>
      <c r="N19">
        <f>IF(N12&lt;0,0,IF(N12&gt;0,3,1))</f>
        <v>1</v>
      </c>
      <c r="P19">
        <f>IF(J27=J26,K19,0)</f>
        <v>1</v>
      </c>
      <c r="Q19">
        <v>0</v>
      </c>
      <c r="R19">
        <f>IF(J27=J28,M19,0)</f>
        <v>1</v>
      </c>
      <c r="S19">
        <f>IF(J27=J29,N19,0)</f>
        <v>1</v>
      </c>
      <c r="T19">
        <f>SUM(P19:S19)</f>
        <v>3</v>
      </c>
    </row>
    <row r="20" spans="1:24">
      <c r="J20" t="str">
        <f>D1</f>
        <v>Wales</v>
      </c>
      <c r="K20">
        <f>IF(K13&lt;0,0,IF(K13&gt;0,3,1))</f>
        <v>1</v>
      </c>
      <c r="L20">
        <f>IF(L13&lt;0,0,IF(L13&gt;0,3,1))</f>
        <v>1</v>
      </c>
      <c r="M20">
        <v>0</v>
      </c>
      <c r="N20">
        <f>IF(N13&lt;0,0,IF(N13&gt;0,3,1))</f>
        <v>1</v>
      </c>
      <c r="P20">
        <f>IF(J28=J26,K20,0)</f>
        <v>1</v>
      </c>
      <c r="Q20">
        <f>IF(J28=J27,L20,0)</f>
        <v>1</v>
      </c>
      <c r="R20">
        <v>0</v>
      </c>
      <c r="S20">
        <f>IF(J28=J29,N20,0)</f>
        <v>1</v>
      </c>
      <c r="T20">
        <f>SUM(P20:S20)</f>
        <v>3</v>
      </c>
    </row>
    <row r="21" spans="1:24">
      <c r="J21" t="str">
        <f>E1</f>
        <v>Slovakia</v>
      </c>
      <c r="K21">
        <f>IF(K14&lt;0,0,IF(K14&gt;0,3,1))</f>
        <v>1</v>
      </c>
      <c r="L21">
        <f>IF(L14&lt;0,0,IF(L14&gt;0,3,1))</f>
        <v>1</v>
      </c>
      <c r="M21">
        <f>IF(M14&lt;0,0,IF(M14&gt;0,3,1))</f>
        <v>1</v>
      </c>
      <c r="N21">
        <v>0</v>
      </c>
      <c r="P21">
        <f>IF(J29=J26,K21,0)</f>
        <v>1</v>
      </c>
      <c r="Q21">
        <f>IF(J29=J27,L21,0)</f>
        <v>1</v>
      </c>
      <c r="R21">
        <f>IF(J29=J28,M21,0)</f>
        <v>1</v>
      </c>
      <c r="S21">
        <v>0</v>
      </c>
      <c r="T21">
        <f>SUM(P21:S21)</f>
        <v>3</v>
      </c>
    </row>
    <row r="23" spans="1:24">
      <c r="A23" t="s">
        <v>64</v>
      </c>
      <c r="B23" t="s">
        <v>63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70</v>
      </c>
      <c r="I23" t="s">
        <v>177</v>
      </c>
      <c r="J23" t="s">
        <v>178</v>
      </c>
      <c r="K23" t="s">
        <v>179</v>
      </c>
      <c r="L23" t="s">
        <v>180</v>
      </c>
      <c r="M23" t="s">
        <v>181</v>
      </c>
      <c r="N23" t="s">
        <v>182</v>
      </c>
      <c r="O23" t="s">
        <v>183</v>
      </c>
      <c r="P23" t="s">
        <v>184</v>
      </c>
      <c r="Q23" t="s">
        <v>185</v>
      </c>
      <c r="R23" t="s">
        <v>186</v>
      </c>
      <c r="S23" t="s">
        <v>187</v>
      </c>
      <c r="T23" t="s">
        <v>188</v>
      </c>
    </row>
    <row r="24" spans="1:24">
      <c r="F24" s="8" t="s">
        <v>156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4" ht="188.25">
      <c r="A25" s="7" t="s">
        <v>195</v>
      </c>
      <c r="B25" t="s">
        <v>163</v>
      </c>
      <c r="C25" t="s">
        <v>157</v>
      </c>
      <c r="D25" t="s">
        <v>164</v>
      </c>
      <c r="E25" t="s">
        <v>165</v>
      </c>
      <c r="F25" s="6" t="s">
        <v>166</v>
      </c>
      <c r="G25" s="7" t="s">
        <v>167</v>
      </c>
      <c r="H25" s="7" t="s">
        <v>189</v>
      </c>
      <c r="I25" s="7" t="s">
        <v>168</v>
      </c>
      <c r="J25" s="7" t="s">
        <v>190</v>
      </c>
      <c r="K25" s="7" t="s">
        <v>169</v>
      </c>
      <c r="L25" s="7" t="s">
        <v>191</v>
      </c>
      <c r="M25" s="7" t="s">
        <v>170</v>
      </c>
      <c r="N25" s="7" t="s">
        <v>192</v>
      </c>
      <c r="O25" s="7" t="s">
        <v>172</v>
      </c>
      <c r="P25" s="7" t="s">
        <v>193</v>
      </c>
      <c r="Q25" s="7" t="s">
        <v>171</v>
      </c>
      <c r="R25" s="7" t="s">
        <v>194</v>
      </c>
      <c r="S25" s="7" t="s">
        <v>197</v>
      </c>
      <c r="T25" s="7" t="s">
        <v>176</v>
      </c>
      <c r="U25" s="7" t="s">
        <v>206</v>
      </c>
      <c r="V25" s="7" t="s">
        <v>207</v>
      </c>
      <c r="W25" s="7" t="s">
        <v>205</v>
      </c>
    </row>
    <row r="26" spans="1:24">
      <c r="A26" t="str">
        <f>B1</f>
        <v>England</v>
      </c>
      <c r="B26">
        <f>I3+I5+I7</f>
        <v>0</v>
      </c>
      <c r="C26">
        <f>E3+E5+F7</f>
        <v>0</v>
      </c>
      <c r="D26">
        <f>F3+F5+E7</f>
        <v>0</v>
      </c>
      <c r="E26">
        <f>C26-D26</f>
        <v>0</v>
      </c>
      <c r="F26">
        <f>G3+G5+H7</f>
        <v>0</v>
      </c>
      <c r="G26">
        <f>E26/100</f>
        <v>0</v>
      </c>
      <c r="H26">
        <f>F26+G26</f>
        <v>0</v>
      </c>
      <c r="I26">
        <f>C26/10000</f>
        <v>0</v>
      </c>
      <c r="J26">
        <f>H26+I26</f>
        <v>0</v>
      </c>
      <c r="K26">
        <f>T18/100000</f>
        <v>3.0000000000000001E-5</v>
      </c>
      <c r="L26">
        <f>J26+K26</f>
        <v>3.0000000000000001E-5</v>
      </c>
      <c r="M26">
        <f>T11/1000000</f>
        <v>0</v>
      </c>
      <c r="N26">
        <f>L26+M26</f>
        <v>3.0000000000000001E-5</v>
      </c>
      <c r="O26">
        <f>T4/10000000</f>
        <v>0</v>
      </c>
      <c r="P26">
        <f>N26+O26</f>
        <v>3.0000000000000001E-5</v>
      </c>
      <c r="Q26" s="17">
        <f>IF(W28&gt;0,IF(A26=GrpB!I12,0.00000004,IF(A26=GrpB!I13,0.00000003,IF(A26=GrpB!I14,0.00000002,0.00000001))),0)</f>
        <v>0</v>
      </c>
      <c r="R26">
        <f>Q26+P26+0.000000004</f>
        <v>3.0003999999999999E-5</v>
      </c>
      <c r="S26">
        <f>RANK(R26,R$26:R$29)</f>
        <v>1</v>
      </c>
      <c r="T26">
        <f>ROUND(R26,0)</f>
        <v>0</v>
      </c>
      <c r="U26">
        <f>P26</f>
        <v>3.0000000000000001E-5</v>
      </c>
      <c r="V26">
        <f>RANK(P26,U$26:U$29)</f>
        <v>1</v>
      </c>
      <c r="W26">
        <f>COUNTIF(V26:V29,1)-1</f>
        <v>3</v>
      </c>
      <c r="X26" t="str">
        <f>IF(W$28&gt;0,A26,"")</f>
        <v/>
      </c>
    </row>
    <row r="27" spans="1:24">
      <c r="A27" t="str">
        <f>C1</f>
        <v>Russia</v>
      </c>
      <c r="B27">
        <f>I3+I6+I8</f>
        <v>0</v>
      </c>
      <c r="C27">
        <f>F3+E6+F8</f>
        <v>0</v>
      </c>
      <c r="D27">
        <f>E3+F6+E8</f>
        <v>0</v>
      </c>
      <c r="E27">
        <f>C27-D27</f>
        <v>0</v>
      </c>
      <c r="F27">
        <f>H3+G6+H8</f>
        <v>0</v>
      </c>
      <c r="G27">
        <f>E27/100</f>
        <v>0</v>
      </c>
      <c r="H27">
        <f>F27+G27</f>
        <v>0</v>
      </c>
      <c r="I27">
        <f>C27/10000</f>
        <v>0</v>
      </c>
      <c r="J27">
        <f>H27+I27</f>
        <v>0</v>
      </c>
      <c r="K27">
        <f>T19/100000</f>
        <v>3.0000000000000001E-5</v>
      </c>
      <c r="L27">
        <f>J27+K27</f>
        <v>3.0000000000000001E-5</v>
      </c>
      <c r="M27">
        <f>T12/1000000</f>
        <v>0</v>
      </c>
      <c r="N27">
        <f>L27+M27</f>
        <v>3.0000000000000001E-5</v>
      </c>
      <c r="O27">
        <f>T5/10000000</f>
        <v>0</v>
      </c>
      <c r="P27">
        <f>N27+O27</f>
        <v>3.0000000000000001E-5</v>
      </c>
      <c r="Q27" s="17">
        <f>IF(W28&gt;0,IF(A27=GrpB!I12,0.00000004,IF(A27=GrpB!I13,0.00000003,IF(A27=GrpB!I14,0.00000002,0.00000001))),0)</f>
        <v>0</v>
      </c>
      <c r="R27">
        <f>Q27+P27+0.000000003</f>
        <v>3.0003000000000001E-5</v>
      </c>
      <c r="S27">
        <f>RANK(R27,R$26:R$29)</f>
        <v>2</v>
      </c>
      <c r="T27">
        <f>ROUND(R27,0)</f>
        <v>0</v>
      </c>
      <c r="U27">
        <f>P27</f>
        <v>3.0000000000000001E-5</v>
      </c>
      <c r="V27">
        <f>RANK(U27,U$26:U$29)</f>
        <v>1</v>
      </c>
      <c r="W27">
        <f>MAX(0,COUNTIF(V26:V29,2)-1)</f>
        <v>0</v>
      </c>
      <c r="X27" t="str">
        <f>IF(W$28&gt;0,A27,"")</f>
        <v/>
      </c>
    </row>
    <row r="28" spans="1:24">
      <c r="A28" t="str">
        <f>D1</f>
        <v>Wales</v>
      </c>
      <c r="B28">
        <f>I4+I5+I8</f>
        <v>0</v>
      </c>
      <c r="C28">
        <f>E4+F5+E8</f>
        <v>0</v>
      </c>
      <c r="D28">
        <f>F4+E5+F8</f>
        <v>0</v>
      </c>
      <c r="E28">
        <f>C28-D28</f>
        <v>0</v>
      </c>
      <c r="F28">
        <f>G4+H5+G8</f>
        <v>0</v>
      </c>
      <c r="G28">
        <f>E28/100</f>
        <v>0</v>
      </c>
      <c r="H28">
        <f>F28+G28</f>
        <v>0</v>
      </c>
      <c r="I28">
        <f>C28/10000</f>
        <v>0</v>
      </c>
      <c r="J28">
        <f>H28+I28</f>
        <v>0</v>
      </c>
      <c r="K28">
        <f>T20/100000</f>
        <v>3.0000000000000001E-5</v>
      </c>
      <c r="L28">
        <f>J28+K28</f>
        <v>3.0000000000000001E-5</v>
      </c>
      <c r="M28">
        <f>T13/1000000</f>
        <v>0</v>
      </c>
      <c r="N28">
        <f>L28+M28</f>
        <v>3.0000000000000001E-5</v>
      </c>
      <c r="O28">
        <f>T6/10000000</f>
        <v>0</v>
      </c>
      <c r="P28">
        <f>N28+O28</f>
        <v>3.0000000000000001E-5</v>
      </c>
      <c r="Q28" s="17">
        <f>IF(W28&gt;0,IF(A28=GrpB!I12,0.00000004,IF(A28=GrpB!I13,0.00000003,IF(A28=GrpB!I14,0.00000002,0.00000001))),0)</f>
        <v>0</v>
      </c>
      <c r="R28">
        <f>Q28+P28+0.000000002</f>
        <v>3.0002000000000002E-5</v>
      </c>
      <c r="S28">
        <f>RANK(R28,R$26:R$29)</f>
        <v>3</v>
      </c>
      <c r="T28">
        <f>ROUND(R28,0)</f>
        <v>0</v>
      </c>
      <c r="U28">
        <f>P28</f>
        <v>3.0000000000000001E-5</v>
      </c>
      <c r="V28">
        <f>RANK(U28,U$26:U$29)</f>
        <v>1</v>
      </c>
      <c r="W28">
        <f>IF(SUM(I3:I8)=6,SUM(W26:W27),0)</f>
        <v>0</v>
      </c>
      <c r="X28" t="str">
        <f>IF(W$28&gt;0,A28,"")</f>
        <v/>
      </c>
    </row>
    <row r="29" spans="1:24">
      <c r="A29" t="str">
        <f>E1</f>
        <v>Slovakia</v>
      </c>
      <c r="B29">
        <f>I4+I6+I7</f>
        <v>0</v>
      </c>
      <c r="C29">
        <f>F4+F6+E7</f>
        <v>0</v>
      </c>
      <c r="D29">
        <f>E4+E6+F7</f>
        <v>0</v>
      </c>
      <c r="E29">
        <f>C29-D29</f>
        <v>0</v>
      </c>
      <c r="F29">
        <f>H4+H6+G7</f>
        <v>0</v>
      </c>
      <c r="G29">
        <f>E29/100</f>
        <v>0</v>
      </c>
      <c r="H29">
        <f>F29+G29</f>
        <v>0</v>
      </c>
      <c r="I29">
        <f>C29/10000</f>
        <v>0</v>
      </c>
      <c r="J29">
        <f>H29+I29</f>
        <v>0</v>
      </c>
      <c r="K29">
        <f>T21/100000</f>
        <v>3.0000000000000001E-5</v>
      </c>
      <c r="L29">
        <f>J29+K29</f>
        <v>3.0000000000000001E-5</v>
      </c>
      <c r="M29">
        <f>T14/1000000</f>
        <v>0</v>
      </c>
      <c r="N29">
        <f>L29+M29</f>
        <v>3.0000000000000001E-5</v>
      </c>
      <c r="O29">
        <f>T7/10000000</f>
        <v>0</v>
      </c>
      <c r="P29">
        <f>N29+O29</f>
        <v>3.0000000000000001E-5</v>
      </c>
      <c r="Q29" s="17">
        <f>IF(W28&gt;0,IF(A29=GrpB!I12,0.00000004,IF(A29=GrpB!I13,0.00000003,IF(A29=GrpB!I14,0.00000002,0.00000001))),0)</f>
        <v>0</v>
      </c>
      <c r="R29">
        <f>Q29+P29+0.000000001</f>
        <v>3.0001E-5</v>
      </c>
      <c r="S29">
        <f>RANK(R29,R$26:R$29)</f>
        <v>4</v>
      </c>
      <c r="T29">
        <f>ROUND(R29,0)</f>
        <v>0</v>
      </c>
      <c r="U29">
        <f>P29</f>
        <v>3.0000000000000001E-5</v>
      </c>
      <c r="V29">
        <f>RANK(U29,U$26:U$29)</f>
        <v>1</v>
      </c>
      <c r="X29" t="str">
        <f>IF(W$28&gt;0,A29,"")</f>
        <v/>
      </c>
    </row>
    <row r="31" spans="1:24">
      <c r="A31" t="str">
        <f t="shared" ref="A31:E31" si="2">A23</f>
        <v>A</v>
      </c>
      <c r="B31" t="str">
        <f t="shared" si="2"/>
        <v>B</v>
      </c>
      <c r="C31" t="str">
        <f t="shared" si="2"/>
        <v>C</v>
      </c>
      <c r="D31" t="str">
        <f t="shared" si="2"/>
        <v>D</v>
      </c>
      <c r="E31" t="str">
        <f t="shared" si="2"/>
        <v>E</v>
      </c>
      <c r="F31" t="str">
        <f>F23</f>
        <v>F</v>
      </c>
      <c r="G31" t="str">
        <f t="shared" ref="G31:T31" si="3">G23</f>
        <v>G</v>
      </c>
      <c r="H31" t="str">
        <f t="shared" si="3"/>
        <v>H</v>
      </c>
      <c r="I31" t="str">
        <f t="shared" si="3"/>
        <v>I</v>
      </c>
      <c r="J31" t="str">
        <f t="shared" si="3"/>
        <v>J</v>
      </c>
      <c r="K31" t="str">
        <f t="shared" si="3"/>
        <v>K</v>
      </c>
      <c r="L31" t="str">
        <f t="shared" si="3"/>
        <v>L</v>
      </c>
      <c r="M31" t="str">
        <f t="shared" si="3"/>
        <v>M</v>
      </c>
      <c r="N31" t="str">
        <f t="shared" si="3"/>
        <v>N</v>
      </c>
      <c r="O31" t="str">
        <f t="shared" si="3"/>
        <v>O</v>
      </c>
      <c r="P31" t="str">
        <f t="shared" si="3"/>
        <v>P</v>
      </c>
      <c r="Q31" t="str">
        <f t="shared" si="3"/>
        <v>Q</v>
      </c>
      <c r="R31" t="str">
        <f t="shared" si="3"/>
        <v>R</v>
      </c>
      <c r="S31" t="str">
        <f t="shared" si="3"/>
        <v>S</v>
      </c>
      <c r="T31" t="str">
        <f t="shared" si="3"/>
        <v>T</v>
      </c>
    </row>
  </sheetData>
  <mergeCells count="1">
    <mergeCell ref="K2:N2"/>
  </mergeCells>
  <dataValidations count="1">
    <dataValidation allowBlank="1" showErrorMessage="1" prompt="Used for Fifa lots if requried" sqref="I12:I1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6"/>
  <dimension ref="A1:X45"/>
  <sheetViews>
    <sheetView workbookViewId="0">
      <selection activeCell="I20" sqref="I20"/>
    </sheetView>
  </sheetViews>
  <sheetFormatPr defaultRowHeight="15"/>
  <cols>
    <col min="9" max="9" width="9" bestFit="1" customWidth="1"/>
    <col min="10" max="10" width="11.7109375" bestFit="1" customWidth="1"/>
    <col min="11" max="11" width="11" customWidth="1"/>
    <col min="12" max="14" width="8.42578125" bestFit="1" customWidth="1"/>
    <col min="15" max="15" width="10" bestFit="1" customWidth="1"/>
    <col min="17" max="17" width="12" bestFit="1" customWidth="1"/>
  </cols>
  <sheetData>
    <row r="1" spans="1:20">
      <c r="B1" s="17" t="str">
        <f>Config!C2</f>
        <v>France</v>
      </c>
      <c r="C1" s="17" t="str">
        <f>Config!C3</f>
        <v>Romania</v>
      </c>
      <c r="D1" s="17" t="str">
        <f>Config!C4</f>
        <v>Albania</v>
      </c>
      <c r="E1" s="17" t="str">
        <f>Config!C5</f>
        <v>Switzerland</v>
      </c>
      <c r="K1" t="s">
        <v>173</v>
      </c>
    </row>
    <row r="2" spans="1:20">
      <c r="B2" t="s">
        <v>201</v>
      </c>
      <c r="D2" t="s">
        <v>202</v>
      </c>
      <c r="E2" t="s">
        <v>199</v>
      </c>
      <c r="F2" t="s">
        <v>200</v>
      </c>
      <c r="G2" t="s">
        <v>159</v>
      </c>
      <c r="H2" t="s">
        <v>203</v>
      </c>
      <c r="I2" t="s">
        <v>204</v>
      </c>
      <c r="K2" s="215" t="s">
        <v>160</v>
      </c>
      <c r="L2" s="215"/>
      <c r="M2" s="215"/>
      <c r="N2" s="215"/>
    </row>
    <row r="3" spans="1:20">
      <c r="A3">
        <v>1</v>
      </c>
      <c r="B3" t="str">
        <f>B1</f>
        <v>France</v>
      </c>
      <c r="C3" t="s">
        <v>161</v>
      </c>
      <c r="D3" t="str">
        <f>C1</f>
        <v>Romania</v>
      </c>
      <c r="E3" s="16">
        <f>Wallchart!H13</f>
        <v>0</v>
      </c>
      <c r="F3" s="16">
        <f>Wallchart!I13</f>
        <v>0</v>
      </c>
      <c r="G3" s="17">
        <f>IF(I3=0,0,IF(E3&lt;F3,0,IF(E3&gt;F3,3,1)))</f>
        <v>0</v>
      </c>
      <c r="H3" s="17">
        <f>IF(I3=0,0,IF(F3&lt;E3,0,IF(F3&gt;E3,3,1)))</f>
        <v>0</v>
      </c>
      <c r="I3" s="16">
        <f>IF(ISBLANK(Wallchart!H13)=TRUE,0,IF(ISBLANK(Wallchart!I13)=TRUE,0,1))</f>
        <v>0</v>
      </c>
      <c r="K3" t="str">
        <f>B1</f>
        <v>France</v>
      </c>
      <c r="L3" t="str">
        <f>C1</f>
        <v>Romania</v>
      </c>
      <c r="M3" t="str">
        <f>D1</f>
        <v>Albania</v>
      </c>
      <c r="N3" t="str">
        <f>E1</f>
        <v>Switzerland</v>
      </c>
      <c r="P3" s="5" t="str">
        <f>B1</f>
        <v>France</v>
      </c>
      <c r="Q3" s="5" t="str">
        <f>C1</f>
        <v>Romania</v>
      </c>
      <c r="R3" s="5" t="str">
        <f>D1</f>
        <v>Albania</v>
      </c>
      <c r="S3" s="5" t="str">
        <f>E1</f>
        <v>Switzerland</v>
      </c>
      <c r="T3" s="5" t="s">
        <v>162</v>
      </c>
    </row>
    <row r="4" spans="1:20">
      <c r="A4">
        <v>2</v>
      </c>
      <c r="B4" t="str">
        <f>D1</f>
        <v>Albania</v>
      </c>
      <c r="C4" t="s">
        <v>161</v>
      </c>
      <c r="D4" t="str">
        <f>E1</f>
        <v>Switzerland</v>
      </c>
      <c r="E4" s="16">
        <f>Wallchart!H14</f>
        <v>0</v>
      </c>
      <c r="F4" s="16">
        <f>Wallchart!I14</f>
        <v>0</v>
      </c>
      <c r="G4" s="17">
        <f t="shared" ref="G4:G8" si="0">IF(I4=0,0,IF(E4&lt;F4,0,IF(E4&gt;F4,3,1)))</f>
        <v>0</v>
      </c>
      <c r="H4" s="17">
        <f t="shared" ref="H4:H8" si="1">IF(I4=0,0,IF(F4&lt;E4,0,IF(F4&gt;E4,3,1)))</f>
        <v>0</v>
      </c>
      <c r="I4" s="16">
        <f>IF(ISBLANK(Wallchart!H14)=TRUE,0,IF(ISBLANK(Wallchart!I14)=TRUE,0,1))</f>
        <v>0</v>
      </c>
      <c r="J4" t="str">
        <f>B1</f>
        <v>France</v>
      </c>
      <c r="K4">
        <v>0</v>
      </c>
      <c r="L4">
        <f>E3</f>
        <v>0</v>
      </c>
      <c r="M4">
        <f>E5</f>
        <v>0</v>
      </c>
      <c r="N4">
        <f>F7</f>
        <v>0</v>
      </c>
      <c r="P4">
        <v>0</v>
      </c>
      <c r="Q4">
        <f>IF(N26=N27,L4,0)</f>
        <v>0</v>
      </c>
      <c r="R4">
        <f>IF(N26=N28,M4,0)</f>
        <v>0</v>
      </c>
      <c r="S4">
        <f>IF(N26=N29,N4,0)</f>
        <v>0</v>
      </c>
      <c r="T4">
        <f>SUM(P4:S4)</f>
        <v>0</v>
      </c>
    </row>
    <row r="5" spans="1:20">
      <c r="A5">
        <v>3</v>
      </c>
      <c r="B5" t="str">
        <f>B1</f>
        <v>France</v>
      </c>
      <c r="C5" t="s">
        <v>161</v>
      </c>
      <c r="D5" t="str">
        <f>D1</f>
        <v>Albania</v>
      </c>
      <c r="E5" s="16">
        <f>Wallchart!H27</f>
        <v>0</v>
      </c>
      <c r="F5" s="16">
        <f>Wallchart!I27</f>
        <v>0</v>
      </c>
      <c r="G5" s="17">
        <f t="shared" si="0"/>
        <v>0</v>
      </c>
      <c r="H5" s="17">
        <f t="shared" si="1"/>
        <v>0</v>
      </c>
      <c r="I5" s="16">
        <f>IF(ISBLANK(Wallchart!H27)=TRUE,0,IF(ISBLANK(Wallchart!I27)=TRUE,0,1))</f>
        <v>0</v>
      </c>
      <c r="J5" t="str">
        <f>C1</f>
        <v>Romania</v>
      </c>
      <c r="K5">
        <f>F3</f>
        <v>0</v>
      </c>
      <c r="L5">
        <v>0</v>
      </c>
      <c r="M5">
        <f>F8</f>
        <v>0</v>
      </c>
      <c r="N5">
        <f>E6</f>
        <v>0</v>
      </c>
      <c r="P5">
        <f>IF(N27=N26,K5,0)</f>
        <v>0</v>
      </c>
      <c r="Q5">
        <v>0</v>
      </c>
      <c r="R5">
        <f>IF(N27=N28,M5,0)</f>
        <v>0</v>
      </c>
      <c r="S5">
        <f>IF(N27=N29,N5,0)</f>
        <v>0</v>
      </c>
      <c r="T5">
        <f>SUM(P5:S5)</f>
        <v>0</v>
      </c>
    </row>
    <row r="6" spans="1:20">
      <c r="A6">
        <v>4</v>
      </c>
      <c r="B6" t="str">
        <f>C1</f>
        <v>Romania</v>
      </c>
      <c r="C6" t="s">
        <v>161</v>
      </c>
      <c r="D6" t="str">
        <f>E1</f>
        <v>Switzerland</v>
      </c>
      <c r="E6" s="16">
        <f>Wallchart!H26</f>
        <v>0</v>
      </c>
      <c r="F6" s="16">
        <f>Wallchart!I26</f>
        <v>0</v>
      </c>
      <c r="G6" s="17">
        <f t="shared" si="0"/>
        <v>0</v>
      </c>
      <c r="H6" s="17">
        <f t="shared" si="1"/>
        <v>0</v>
      </c>
      <c r="I6" s="16">
        <f>IF(ISBLANK(Wallchart!H26)=TRUE,0,IF(ISBLANK(Wallchart!I26)=TRUE,0,1))</f>
        <v>0</v>
      </c>
      <c r="J6" t="str">
        <f>D1</f>
        <v>Albania</v>
      </c>
      <c r="K6">
        <f>F5</f>
        <v>0</v>
      </c>
      <c r="L6">
        <f>E8</f>
        <v>0</v>
      </c>
      <c r="M6">
        <v>0</v>
      </c>
      <c r="N6">
        <f>E4</f>
        <v>0</v>
      </c>
      <c r="P6">
        <f>IF(N28=N26,K6,0)</f>
        <v>0</v>
      </c>
      <c r="Q6">
        <f>IF(N28=N27,L6,0)</f>
        <v>0</v>
      </c>
      <c r="R6">
        <v>0</v>
      </c>
      <c r="S6">
        <f>IF(N28=N29,N6,0)</f>
        <v>0</v>
      </c>
      <c r="T6">
        <f>SUM(P6:S6)</f>
        <v>0</v>
      </c>
    </row>
    <row r="7" spans="1:20">
      <c r="A7">
        <v>5</v>
      </c>
      <c r="B7" t="str">
        <f>E1</f>
        <v>Switzerland</v>
      </c>
      <c r="C7" t="s">
        <v>161</v>
      </c>
      <c r="D7" t="str">
        <f>B1</f>
        <v>France</v>
      </c>
      <c r="E7" s="16">
        <f>Wallchart!H38</f>
        <v>0</v>
      </c>
      <c r="F7" s="16">
        <f>Wallchart!I38</f>
        <v>0</v>
      </c>
      <c r="G7" s="17">
        <f t="shared" si="0"/>
        <v>0</v>
      </c>
      <c r="H7" s="17">
        <f t="shared" si="1"/>
        <v>0</v>
      </c>
      <c r="I7" s="16">
        <f>IF(ISBLANK(Wallchart!H38)=TRUE,0,IF(ISBLANK(Wallchart!I38)=TRUE,0,1))</f>
        <v>0</v>
      </c>
      <c r="J7" t="str">
        <f>E1</f>
        <v>Switzerland</v>
      </c>
      <c r="K7">
        <f>E7</f>
        <v>0</v>
      </c>
      <c r="L7">
        <f>F6</f>
        <v>0</v>
      </c>
      <c r="M7">
        <f>F4</f>
        <v>0</v>
      </c>
      <c r="N7">
        <v>0</v>
      </c>
      <c r="P7">
        <f>IF(N29=N26,K7,0)</f>
        <v>0</v>
      </c>
      <c r="Q7">
        <f>IF(N29=N27,L7,0)</f>
        <v>0</v>
      </c>
      <c r="R7">
        <f>IF(N29=N28,M7,0)</f>
        <v>0</v>
      </c>
      <c r="S7">
        <v>0</v>
      </c>
      <c r="T7">
        <f>SUM(P7:S7)</f>
        <v>0</v>
      </c>
    </row>
    <row r="8" spans="1:20">
      <c r="A8">
        <v>6</v>
      </c>
      <c r="B8" t="str">
        <f>D1</f>
        <v>Albania</v>
      </c>
      <c r="C8" t="s">
        <v>161</v>
      </c>
      <c r="D8" t="str">
        <f>C1</f>
        <v>Romania</v>
      </c>
      <c r="E8" s="16">
        <f>Wallchart!I37</f>
        <v>0</v>
      </c>
      <c r="F8" s="16">
        <f>Wallchart!H37</f>
        <v>0</v>
      </c>
      <c r="G8" s="17">
        <f t="shared" si="0"/>
        <v>0</v>
      </c>
      <c r="H8" s="17">
        <f t="shared" si="1"/>
        <v>0</v>
      </c>
      <c r="I8" s="16">
        <f>IF(ISBLANK(Wallchart!H37)=TRUE,0,IF(ISBLANK(Wallchart!I37)=TRUE,0,1))</f>
        <v>0</v>
      </c>
    </row>
    <row r="9" spans="1:20">
      <c r="I9" s="20"/>
      <c r="K9" t="s">
        <v>174</v>
      </c>
    </row>
    <row r="10" spans="1:20" ht="15.75" thickBot="1">
      <c r="K10" t="str">
        <f>B1</f>
        <v>France</v>
      </c>
      <c r="L10" t="str">
        <f>C1</f>
        <v>Romania</v>
      </c>
      <c r="M10" t="str">
        <f>D1</f>
        <v>Albania</v>
      </c>
      <c r="N10" t="str">
        <f>E1</f>
        <v>Switzerland</v>
      </c>
      <c r="P10" s="5" t="str">
        <f>B1</f>
        <v>France</v>
      </c>
      <c r="Q10" s="5" t="str">
        <f>C1</f>
        <v>Romania</v>
      </c>
      <c r="R10" s="5" t="str">
        <f>D1</f>
        <v>Albania</v>
      </c>
      <c r="S10" s="5" t="str">
        <f>E1</f>
        <v>Switzerland</v>
      </c>
      <c r="T10" s="5" t="s">
        <v>162</v>
      </c>
    </row>
    <row r="11" spans="1:20">
      <c r="B11" s="9" t="s">
        <v>196</v>
      </c>
      <c r="C11" s="10" t="s">
        <v>195</v>
      </c>
      <c r="D11" s="11" t="s">
        <v>163</v>
      </c>
      <c r="E11" s="11" t="s">
        <v>157</v>
      </c>
      <c r="F11" s="11" t="s">
        <v>164</v>
      </c>
      <c r="G11" s="11" t="s">
        <v>165</v>
      </c>
      <c r="H11" s="11" t="s">
        <v>156</v>
      </c>
      <c r="I11" s="18" t="s">
        <v>198</v>
      </c>
      <c r="J11" t="str">
        <f>B1</f>
        <v>France</v>
      </c>
      <c r="K11">
        <v>0</v>
      </c>
      <c r="L11">
        <f>L4-K5</f>
        <v>0</v>
      </c>
      <c r="M11">
        <f>M4-K6</f>
        <v>0</v>
      </c>
      <c r="N11">
        <f>N4-K7</f>
        <v>0</v>
      </c>
      <c r="P11">
        <v>0</v>
      </c>
      <c r="Q11">
        <f>IF(L26=L27,L11,0)</f>
        <v>0</v>
      </c>
      <c r="R11">
        <f>IF(L26=L28,M11,0)</f>
        <v>0</v>
      </c>
      <c r="S11">
        <f>IF(L26=L29,N11,0)</f>
        <v>0</v>
      </c>
      <c r="T11">
        <f>SUM(P11:S11)</f>
        <v>0</v>
      </c>
    </row>
    <row r="12" spans="1:20">
      <c r="B12" s="12">
        <v>1</v>
      </c>
      <c r="C12" s="13" t="str">
        <f>IF(S$26=1,A$26,IF(S$27=1,A$27,IF(S$28=1,A$28,A$29)))</f>
        <v>France</v>
      </c>
      <c r="D12" s="13">
        <f>IF(S$26=1,B$26,IF(S$27=1,B$27,IF(S$28=1,B$28,B$29)))</f>
        <v>0</v>
      </c>
      <c r="E12" s="13">
        <f>IF(S$26=1,C$26,IF(S$27=1,C$27,IF(S$28=1,C$28,C$29)))</f>
        <v>0</v>
      </c>
      <c r="F12" s="13">
        <f>IF(S$26=1,D$26,IF(S$27=1,D$27,IF(S$28=1,D$28,D$29)))</f>
        <v>0</v>
      </c>
      <c r="G12" s="13">
        <f>IF(S$26=1,E$26,IF(S$27=1,E$27,IF(S$28=1,E$28,E$29)))</f>
        <v>0</v>
      </c>
      <c r="H12" s="13">
        <f>IF(S$26=1,T$26,IF(S$27=1,T$27,IF(S$28=1,T$28,T$29)))</f>
        <v>0</v>
      </c>
      <c r="I12" s="21"/>
      <c r="J12" t="str">
        <f>C1</f>
        <v>Romania</v>
      </c>
      <c r="K12">
        <f>K5-L4</f>
        <v>0</v>
      </c>
      <c r="L12">
        <v>0</v>
      </c>
      <c r="M12">
        <f>M5-L6</f>
        <v>0</v>
      </c>
      <c r="N12">
        <f>N5-L7</f>
        <v>0</v>
      </c>
      <c r="P12">
        <f>IF(L27=L26,K12,0)</f>
        <v>0</v>
      </c>
      <c r="Q12">
        <v>0</v>
      </c>
      <c r="R12">
        <f>IF(L27=L28,M12,0)</f>
        <v>0</v>
      </c>
      <c r="S12">
        <f>IF(L27=L29,N12,0)</f>
        <v>0</v>
      </c>
      <c r="T12">
        <f>SUM(P12:S12)</f>
        <v>0</v>
      </c>
    </row>
    <row r="13" spans="1:20">
      <c r="B13" s="12">
        <v>2</v>
      </c>
      <c r="C13" s="13" t="str">
        <f>IF(S$26=2,A$26,IF(S$27=2,A$27,IF(S$28=2,A$28,A$29)))</f>
        <v>Romania</v>
      </c>
      <c r="D13" s="13">
        <f>IF(S$26=2,B$26,IF(S$27=2,B$27,IF(S$28=2,B$28,B$29)))</f>
        <v>0</v>
      </c>
      <c r="E13" s="13">
        <f>IF(S$26=2,C$26,IF(S$27=2,C$27,IF(S$28=2,C$28,C$29)))</f>
        <v>0</v>
      </c>
      <c r="F13" s="13">
        <f>IF(S$26=2,D$26,IF(S$27=2,D$27,IF(S$28=2,D$28,D$29)))</f>
        <v>0</v>
      </c>
      <c r="G13" s="13">
        <f>IF(S$26=2,E$26,IF(S$27=2,E$27,IF(S$28=2,E$28,E$29)))</f>
        <v>0</v>
      </c>
      <c r="H13" s="13">
        <f>IF(S$26=2,T$26,IF(S$27=2,T$27,IF(S$28=2,T$28,T$29)))</f>
        <v>0</v>
      </c>
      <c r="I13" s="21"/>
      <c r="J13" t="str">
        <f>D1</f>
        <v>Albania</v>
      </c>
      <c r="K13">
        <f>K6-M4</f>
        <v>0</v>
      </c>
      <c r="L13">
        <f>L6-M5</f>
        <v>0</v>
      </c>
      <c r="M13">
        <v>0</v>
      </c>
      <c r="N13">
        <f>N6-M7</f>
        <v>0</v>
      </c>
      <c r="P13">
        <f>IF(L28=L26,K13,0)</f>
        <v>0</v>
      </c>
      <c r="Q13">
        <f>IF(L28=L27,L13,0)</f>
        <v>0</v>
      </c>
      <c r="R13">
        <v>0</v>
      </c>
      <c r="S13">
        <f>IF(L28=L29,N13,0)</f>
        <v>0</v>
      </c>
      <c r="T13">
        <f>SUM(P13:S13)</f>
        <v>0</v>
      </c>
    </row>
    <row r="14" spans="1:20">
      <c r="B14" s="12">
        <v>3</v>
      </c>
      <c r="C14" s="13" t="str">
        <f>IF(S$26=3,A$26,IF(S$27=3,A$27,IF(S$28=3,A$28,A$29)))</f>
        <v>Albania</v>
      </c>
      <c r="D14" s="13">
        <f>IF(S$26=3,B$26,IF(S$27=3,B$27,IF(S$28=3,B$28,B$29)))</f>
        <v>0</v>
      </c>
      <c r="E14" s="13">
        <f>IF(S$26=3,C$26,IF(S$27=3,C$27,IF(S$28=3,C$28,C$29)))</f>
        <v>0</v>
      </c>
      <c r="F14" s="13">
        <f>IF(S$26=3,D$26,IF(S$27=3,D$27,IF(S$28=3,D$28,D$29)))</f>
        <v>0</v>
      </c>
      <c r="G14" s="13">
        <f>IF(S$26=3,E$26,IF(S$27=3,E$27,IF(S$28=3,E$28,E$29)))</f>
        <v>0</v>
      </c>
      <c r="H14" s="13">
        <f>IF(S$26=3,T$26,IF(S$27=3,T$27,IF(S$28=3,T$28,T$29)))</f>
        <v>0</v>
      </c>
      <c r="I14" s="21"/>
      <c r="J14" t="str">
        <f>E1</f>
        <v>Switzerland</v>
      </c>
      <c r="K14">
        <f>K7-N4</f>
        <v>0</v>
      </c>
      <c r="L14">
        <f>L7-N5</f>
        <v>0</v>
      </c>
      <c r="M14">
        <f>M7-N6</f>
        <v>0</v>
      </c>
      <c r="N14">
        <v>0</v>
      </c>
      <c r="P14">
        <f>IF(L29=L26,K14,0)</f>
        <v>0</v>
      </c>
      <c r="Q14">
        <f>IF(L29=L27,L14,0)</f>
        <v>0</v>
      </c>
      <c r="R14">
        <f>IF(L29=L28,M14,0)</f>
        <v>0</v>
      </c>
      <c r="S14">
        <v>0</v>
      </c>
      <c r="T14">
        <f>SUM(P14:S14)</f>
        <v>0</v>
      </c>
    </row>
    <row r="15" spans="1:20" ht="15.75" thickBot="1">
      <c r="B15" s="14">
        <v>4</v>
      </c>
      <c r="C15" s="15" t="str">
        <f>IF(S$26=4,A$26,IF(S$27=4,A$27,IF(S$28=4,A$28,A$29)))</f>
        <v>Switzerland</v>
      </c>
      <c r="D15" s="15">
        <f>IF(S$26=4,B$26,IF(S$27=4,B$27,IF(S$28=4,B$28,B$29)))</f>
        <v>0</v>
      </c>
      <c r="E15" s="15">
        <f>IF(S$26=4,C$26,IF(S$27=4,C$27,IF(S$28=4,C$28,C$29)))</f>
        <v>0</v>
      </c>
      <c r="F15" s="15">
        <f>IF(S$26=4,D$26,IF(S$27=4,D$27,IF(S$28=4,D$28,D$29)))</f>
        <v>0</v>
      </c>
      <c r="G15" s="15">
        <f>IF(S$26=4,E$26,IF(S$27=4,E$27,IF(S$28=4,E$28,E$29)))</f>
        <v>0</v>
      </c>
      <c r="H15" s="15">
        <f>IF(S$26=4,T$26,IF(S$27=4,T$27,IF(S$28=4,T$28,T$29)))</f>
        <v>0</v>
      </c>
      <c r="I15" s="21"/>
    </row>
    <row r="16" spans="1:20" ht="15.75" thickBot="1">
      <c r="I16" s="19" t="str">
        <f>IF(SUM(I3:I8)=6,IF(GrpB!W28&gt;0,IF(I12=I13,"Duplicate",IF(I12=I14,"Duplicate",IF(I12=I15,"Duplicate",IF(I13=I14,"Duplicate",IF(I13=I15,"Duplcate",IF(I14=I15,"Duplicate","")))))),""),"")</f>
        <v/>
      </c>
      <c r="K16" t="s">
        <v>175</v>
      </c>
    </row>
    <row r="17" spans="1:24">
      <c r="K17" t="str">
        <f>B1</f>
        <v>France</v>
      </c>
      <c r="L17" t="str">
        <f>C1</f>
        <v>Romania</v>
      </c>
      <c r="M17" t="str">
        <f>D1</f>
        <v>Albania</v>
      </c>
      <c r="N17" t="str">
        <f>E1</f>
        <v>Switzerland</v>
      </c>
      <c r="P17" s="5" t="str">
        <f>B1</f>
        <v>France</v>
      </c>
      <c r="Q17" s="5" t="str">
        <f>C1</f>
        <v>Romania</v>
      </c>
      <c r="R17" s="5" t="str">
        <f>D1</f>
        <v>Albania</v>
      </c>
      <c r="S17" s="5" t="str">
        <f>E1</f>
        <v>Switzerland</v>
      </c>
      <c r="T17" s="5" t="s">
        <v>162</v>
      </c>
    </row>
    <row r="18" spans="1:24">
      <c r="J18" t="str">
        <f>B1</f>
        <v>France</v>
      </c>
      <c r="K18">
        <v>0</v>
      </c>
      <c r="L18">
        <f>IF(L11&lt;0,0,IF(L11&gt;0,3,1))</f>
        <v>1</v>
      </c>
      <c r="M18">
        <f>IF(M11&lt;0,0,IF(M11&gt;0,3,1))</f>
        <v>1</v>
      </c>
      <c r="N18">
        <f>IF(N11&lt;0,0,IF(N11&gt;0,3,1))</f>
        <v>1</v>
      </c>
      <c r="P18">
        <v>0</v>
      </c>
      <c r="Q18">
        <f>IF(J26=J27,L18,0)</f>
        <v>1</v>
      </c>
      <c r="R18">
        <f>IF(J26=J28,M18,0)</f>
        <v>1</v>
      </c>
      <c r="S18">
        <f>IF(J26=J29,N18,0)</f>
        <v>1</v>
      </c>
      <c r="T18">
        <f>SUM(P18:S18)</f>
        <v>3</v>
      </c>
    </row>
    <row r="19" spans="1:24">
      <c r="J19" t="str">
        <f>C1</f>
        <v>Romania</v>
      </c>
      <c r="K19">
        <f>IF(K12&lt;0,0,IF(K12&gt;0,3,1))</f>
        <v>1</v>
      </c>
      <c r="L19">
        <v>0</v>
      </c>
      <c r="M19">
        <f>IF(M12&lt;0,0,IF(M12&gt;0,3,1))</f>
        <v>1</v>
      </c>
      <c r="N19">
        <f>IF(N12&lt;0,0,IF(N12&gt;0,3,1))</f>
        <v>1</v>
      </c>
      <c r="P19">
        <f>IF(J27=J26,K19,0)</f>
        <v>1</v>
      </c>
      <c r="Q19">
        <v>0</v>
      </c>
      <c r="R19">
        <f>IF(J27=J28,M19,0)</f>
        <v>1</v>
      </c>
      <c r="S19">
        <f>IF(J27=J29,N19,0)</f>
        <v>1</v>
      </c>
      <c r="T19">
        <f>SUM(P19:S19)</f>
        <v>3</v>
      </c>
    </row>
    <row r="20" spans="1:24">
      <c r="J20" t="str">
        <f>D1</f>
        <v>Albania</v>
      </c>
      <c r="K20">
        <f>IF(K13&lt;0,0,IF(K13&gt;0,3,1))</f>
        <v>1</v>
      </c>
      <c r="L20">
        <f>IF(L13&lt;0,0,IF(L13&gt;0,3,1))</f>
        <v>1</v>
      </c>
      <c r="M20">
        <v>0</v>
      </c>
      <c r="N20">
        <f>IF(N13&lt;0,0,IF(N13&gt;0,3,1))</f>
        <v>1</v>
      </c>
      <c r="P20">
        <f>IF(J28=J26,K20,0)</f>
        <v>1</v>
      </c>
      <c r="Q20">
        <f>IF(J28=J27,L20,0)</f>
        <v>1</v>
      </c>
      <c r="R20">
        <v>0</v>
      </c>
      <c r="S20">
        <f>IF(J28=J29,N20,0)</f>
        <v>1</v>
      </c>
      <c r="T20">
        <f>SUM(P20:S20)</f>
        <v>3</v>
      </c>
    </row>
    <row r="21" spans="1:24">
      <c r="J21" t="str">
        <f>E1</f>
        <v>Switzerland</v>
      </c>
      <c r="K21">
        <f>IF(K14&lt;0,0,IF(K14&gt;0,3,1))</f>
        <v>1</v>
      </c>
      <c r="L21">
        <f>IF(L14&lt;0,0,IF(L14&gt;0,3,1))</f>
        <v>1</v>
      </c>
      <c r="M21">
        <f>IF(M14&lt;0,0,IF(M14&gt;0,3,1))</f>
        <v>1</v>
      </c>
      <c r="N21">
        <v>0</v>
      </c>
      <c r="P21">
        <f>IF(J29=J26,K21,0)</f>
        <v>1</v>
      </c>
      <c r="Q21">
        <f>IF(J29=J27,L21,0)</f>
        <v>1</v>
      </c>
      <c r="R21">
        <f>IF(J29=J28,M21,0)</f>
        <v>1</v>
      </c>
      <c r="S21">
        <v>0</v>
      </c>
      <c r="T21">
        <f>SUM(P21:S21)</f>
        <v>3</v>
      </c>
    </row>
    <row r="23" spans="1:24">
      <c r="A23" t="s">
        <v>64</v>
      </c>
      <c r="B23" t="s">
        <v>63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70</v>
      </c>
      <c r="I23" t="s">
        <v>177</v>
      </c>
      <c r="J23" t="s">
        <v>178</v>
      </c>
      <c r="K23" t="s">
        <v>179</v>
      </c>
      <c r="L23" t="s">
        <v>180</v>
      </c>
      <c r="M23" t="s">
        <v>181</v>
      </c>
      <c r="N23" t="s">
        <v>182</v>
      </c>
      <c r="O23" t="s">
        <v>183</v>
      </c>
      <c r="P23" t="s">
        <v>184</v>
      </c>
      <c r="Q23" t="s">
        <v>185</v>
      </c>
      <c r="R23" t="s">
        <v>186</v>
      </c>
      <c r="S23" t="s">
        <v>187</v>
      </c>
      <c r="T23" t="s">
        <v>188</v>
      </c>
    </row>
    <row r="24" spans="1:24">
      <c r="F24" s="8" t="s">
        <v>156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4" ht="188.25">
      <c r="A25" s="7" t="s">
        <v>195</v>
      </c>
      <c r="B25" t="s">
        <v>163</v>
      </c>
      <c r="C25" t="s">
        <v>157</v>
      </c>
      <c r="D25" t="s">
        <v>164</v>
      </c>
      <c r="E25" t="s">
        <v>165</v>
      </c>
      <c r="F25" s="6" t="s">
        <v>441</v>
      </c>
      <c r="G25" s="7" t="s">
        <v>442</v>
      </c>
      <c r="H25" s="7" t="s">
        <v>189</v>
      </c>
      <c r="I25" s="7" t="s">
        <v>443</v>
      </c>
      <c r="J25" s="7" t="s">
        <v>190</v>
      </c>
      <c r="K25" s="7" t="s">
        <v>169</v>
      </c>
      <c r="L25" s="7" t="s">
        <v>191</v>
      </c>
      <c r="M25" s="7" t="s">
        <v>170</v>
      </c>
      <c r="N25" s="7" t="s">
        <v>192</v>
      </c>
      <c r="O25" s="7" t="s">
        <v>172</v>
      </c>
      <c r="P25" s="7" t="s">
        <v>193</v>
      </c>
      <c r="Q25" s="7" t="s">
        <v>171</v>
      </c>
      <c r="R25" s="7" t="s">
        <v>194</v>
      </c>
      <c r="S25" s="7" t="s">
        <v>197</v>
      </c>
      <c r="T25" s="7" t="s">
        <v>176</v>
      </c>
      <c r="U25" s="7" t="s">
        <v>206</v>
      </c>
      <c r="V25" s="7" t="s">
        <v>207</v>
      </c>
      <c r="W25" s="7" t="s">
        <v>205</v>
      </c>
    </row>
    <row r="26" spans="1:24">
      <c r="A26" t="str">
        <f>B1</f>
        <v>France</v>
      </c>
      <c r="B26">
        <f>I3+I5+I7</f>
        <v>0</v>
      </c>
      <c r="C26">
        <f>E3+E5+F7</f>
        <v>0</v>
      </c>
      <c r="D26">
        <f>F3+F5+E7</f>
        <v>0</v>
      </c>
      <c r="E26">
        <f>C26-D26</f>
        <v>0</v>
      </c>
      <c r="F26">
        <f>G3+G5+H7</f>
        <v>0</v>
      </c>
      <c r="G26">
        <f>E26/100</f>
        <v>0</v>
      </c>
      <c r="H26">
        <f>F26+G26</f>
        <v>0</v>
      </c>
      <c r="I26">
        <f>C26/10000</f>
        <v>0</v>
      </c>
      <c r="J26">
        <f>H26+I26</f>
        <v>0</v>
      </c>
      <c r="K26">
        <f>T18/100000</f>
        <v>3.0000000000000001E-5</v>
      </c>
      <c r="L26">
        <f>J26+K26</f>
        <v>3.0000000000000001E-5</v>
      </c>
      <c r="M26">
        <f>T11/1000000</f>
        <v>0</v>
      </c>
      <c r="N26">
        <f>L26+M26</f>
        <v>3.0000000000000001E-5</v>
      </c>
      <c r="O26">
        <f>T4/10000000</f>
        <v>0</v>
      </c>
      <c r="P26">
        <f>N26+O26</f>
        <v>3.0000000000000001E-5</v>
      </c>
      <c r="Q26" s="17">
        <f>IF(W28&gt;0,IF(A26=GrpA!I12,0.00000004,IF(A26=GrpA!I13,0.00000003,IF(A26=GrpA!I14,0.00000002,0.00000001))),0)</f>
        <v>0</v>
      </c>
      <c r="R26">
        <f>Q26+P26+0.000000004</f>
        <v>3.0003999999999999E-5</v>
      </c>
      <c r="S26">
        <f>RANK(R26,R$26:R$29)</f>
        <v>1</v>
      </c>
      <c r="T26">
        <f>ROUND(R26,0)</f>
        <v>0</v>
      </c>
      <c r="U26">
        <f>P26</f>
        <v>3.0000000000000001E-5</v>
      </c>
      <c r="V26">
        <f>RANK(P26,U$26:U$29)</f>
        <v>1</v>
      </c>
      <c r="W26">
        <f>COUNTIF(V26:V29,1)-1</f>
        <v>3</v>
      </c>
      <c r="X26" t="str">
        <f>IF(W$28&gt;0,A26,"")</f>
        <v/>
      </c>
    </row>
    <row r="27" spans="1:24">
      <c r="A27" t="str">
        <f>C1</f>
        <v>Romania</v>
      </c>
      <c r="B27">
        <f>I3+I6+I8</f>
        <v>0</v>
      </c>
      <c r="C27">
        <f>F3+E6+F8</f>
        <v>0</v>
      </c>
      <c r="D27">
        <f>E3+F6+E8</f>
        <v>0</v>
      </c>
      <c r="E27">
        <f>C27-D27</f>
        <v>0</v>
      </c>
      <c r="F27">
        <f>H3+G6+H8</f>
        <v>0</v>
      </c>
      <c r="G27">
        <f>E27/100</f>
        <v>0</v>
      </c>
      <c r="H27">
        <f>F27+G27</f>
        <v>0</v>
      </c>
      <c r="I27">
        <f>C27/10000</f>
        <v>0</v>
      </c>
      <c r="J27">
        <f>H27+I27</f>
        <v>0</v>
      </c>
      <c r="K27">
        <f>T19/100000</f>
        <v>3.0000000000000001E-5</v>
      </c>
      <c r="L27">
        <f>J27+K27</f>
        <v>3.0000000000000001E-5</v>
      </c>
      <c r="M27">
        <f>T12/1000000</f>
        <v>0</v>
      </c>
      <c r="N27">
        <f>L27+M27</f>
        <v>3.0000000000000001E-5</v>
      </c>
      <c r="O27">
        <f>T5/10000000</f>
        <v>0</v>
      </c>
      <c r="P27">
        <f>N27+O27</f>
        <v>3.0000000000000001E-5</v>
      </c>
      <c r="Q27" s="17">
        <f>IF(W28&gt;0,IF(A27=GrpA!I12,0.00000004,IF(A27=GrpA!I13,0.00000003,IF(A27=GrpA!I14,0.00000002,0.00000001))),0)</f>
        <v>0</v>
      </c>
      <c r="R27">
        <f>Q27+P27+0.000000003</f>
        <v>3.0003000000000001E-5</v>
      </c>
      <c r="S27">
        <f>RANK(R27,R$26:R$29)</f>
        <v>2</v>
      </c>
      <c r="T27">
        <f>ROUND(R27,0)</f>
        <v>0</v>
      </c>
      <c r="U27">
        <f>P27</f>
        <v>3.0000000000000001E-5</v>
      </c>
      <c r="V27">
        <f>RANK(U27,U$26:U$29)</f>
        <v>1</v>
      </c>
      <c r="W27">
        <f>MAX(0,COUNTIF(V26:V29,2)-1)</f>
        <v>0</v>
      </c>
      <c r="X27" t="str">
        <f>IF(W$28&gt;0,A27,"")</f>
        <v/>
      </c>
    </row>
    <row r="28" spans="1:24">
      <c r="A28" t="str">
        <f>D1</f>
        <v>Albania</v>
      </c>
      <c r="B28">
        <f>I4+I5+I8</f>
        <v>0</v>
      </c>
      <c r="C28">
        <f>E4+F5+E8</f>
        <v>0</v>
      </c>
      <c r="D28">
        <f>F4+E5+F8</f>
        <v>0</v>
      </c>
      <c r="E28">
        <f>C28-D28</f>
        <v>0</v>
      </c>
      <c r="F28">
        <f>G4+H5+G8</f>
        <v>0</v>
      </c>
      <c r="G28">
        <f>E28/100</f>
        <v>0</v>
      </c>
      <c r="H28">
        <f>F28+G28</f>
        <v>0</v>
      </c>
      <c r="I28">
        <f>C28/10000</f>
        <v>0</v>
      </c>
      <c r="J28">
        <f>H28+I28</f>
        <v>0</v>
      </c>
      <c r="K28">
        <f>T20/100000</f>
        <v>3.0000000000000001E-5</v>
      </c>
      <c r="L28">
        <f>J28+K28</f>
        <v>3.0000000000000001E-5</v>
      </c>
      <c r="M28">
        <f>T13/1000000</f>
        <v>0</v>
      </c>
      <c r="N28">
        <f>L28+M28</f>
        <v>3.0000000000000001E-5</v>
      </c>
      <c r="O28">
        <f>T6/10000000</f>
        <v>0</v>
      </c>
      <c r="P28">
        <f>N28+O28</f>
        <v>3.0000000000000001E-5</v>
      </c>
      <c r="Q28" s="17">
        <f>IF(W28&gt;0,IF(A28=GrpA!I12,0.00000004,IF(A28=GrpA!I13,0.00000003,IF(A28=GrpA!I14,0.00000002,0.00000001))),0)</f>
        <v>0</v>
      </c>
      <c r="R28">
        <f>Q28+P28+0.000000002</f>
        <v>3.0002000000000002E-5</v>
      </c>
      <c r="S28">
        <f>RANK(R28,R$26:R$29)</f>
        <v>3</v>
      </c>
      <c r="T28">
        <f>ROUND(R28,0)</f>
        <v>0</v>
      </c>
      <c r="U28">
        <f>P28</f>
        <v>3.0000000000000001E-5</v>
      </c>
      <c r="V28">
        <f>RANK(U28,U$26:U$29)</f>
        <v>1</v>
      </c>
      <c r="W28">
        <f>IF(SUM(I3:I8)=6,SUM(W26:W27),0)</f>
        <v>0</v>
      </c>
      <c r="X28" t="str">
        <f>IF(W$28&gt;0,A28,"")</f>
        <v/>
      </c>
    </row>
    <row r="29" spans="1:24">
      <c r="A29" t="str">
        <f>E1</f>
        <v>Switzerland</v>
      </c>
      <c r="B29">
        <f>I4+I6+I7</f>
        <v>0</v>
      </c>
      <c r="C29">
        <f>F4+F6+E7</f>
        <v>0</v>
      </c>
      <c r="D29">
        <f>E4+E6+F7</f>
        <v>0</v>
      </c>
      <c r="E29">
        <f>C29-D29</f>
        <v>0</v>
      </c>
      <c r="F29">
        <f>H4+H6+G7</f>
        <v>0</v>
      </c>
      <c r="G29">
        <f>E29/100</f>
        <v>0</v>
      </c>
      <c r="H29">
        <f>F29+G29</f>
        <v>0</v>
      </c>
      <c r="I29">
        <f>C29/10000</f>
        <v>0</v>
      </c>
      <c r="J29">
        <f>H29+I29</f>
        <v>0</v>
      </c>
      <c r="K29">
        <f>T21/100000</f>
        <v>3.0000000000000001E-5</v>
      </c>
      <c r="L29">
        <f>J29+K29</f>
        <v>3.0000000000000001E-5</v>
      </c>
      <c r="M29">
        <f>T14/1000000</f>
        <v>0</v>
      </c>
      <c r="N29">
        <f>L29+M29</f>
        <v>3.0000000000000001E-5</v>
      </c>
      <c r="O29">
        <f>T7/10000000</f>
        <v>0</v>
      </c>
      <c r="P29">
        <f>N29+O29</f>
        <v>3.0000000000000001E-5</v>
      </c>
      <c r="Q29" s="17">
        <f>IF(W28&gt;0,IF(A29=GrpA!I12,0.00000004,IF(A29=GrpA!I13,0.00000003,IF(A29=GrpA!I14,0.00000002,0.00000001))),0)</f>
        <v>0</v>
      </c>
      <c r="R29">
        <f>Q29+P29+0.000000001</f>
        <v>3.0001E-5</v>
      </c>
      <c r="S29">
        <f>RANK(R29,R$26:R$29)</f>
        <v>4</v>
      </c>
      <c r="T29">
        <f>ROUND(R29,0)</f>
        <v>0</v>
      </c>
      <c r="U29">
        <f>P29</f>
        <v>3.0000000000000001E-5</v>
      </c>
      <c r="V29">
        <f>RANK(U29,U$26:U$29)</f>
        <v>1</v>
      </c>
      <c r="X29" t="str">
        <f>IF(W$28&gt;0,A29,"")</f>
        <v/>
      </c>
    </row>
    <row r="31" spans="1:24">
      <c r="A31" t="str">
        <f t="shared" ref="A31:E31" si="2">A23</f>
        <v>A</v>
      </c>
      <c r="B31" t="str">
        <f t="shared" si="2"/>
        <v>B</v>
      </c>
      <c r="C31" t="str">
        <f t="shared" si="2"/>
        <v>C</v>
      </c>
      <c r="D31" t="str">
        <f t="shared" si="2"/>
        <v>D</v>
      </c>
      <c r="E31" t="str">
        <f t="shared" si="2"/>
        <v>E</v>
      </c>
      <c r="F31" t="str">
        <f>F23</f>
        <v>F</v>
      </c>
      <c r="G31" t="str">
        <f t="shared" ref="G31:T31" si="3">G23</f>
        <v>G</v>
      </c>
      <c r="H31" t="str">
        <f t="shared" si="3"/>
        <v>H</v>
      </c>
      <c r="I31" t="str">
        <f t="shared" si="3"/>
        <v>I</v>
      </c>
      <c r="J31" t="str">
        <f t="shared" si="3"/>
        <v>J</v>
      </c>
      <c r="K31" t="str">
        <f t="shared" si="3"/>
        <v>K</v>
      </c>
      <c r="L31" t="str">
        <f t="shared" si="3"/>
        <v>L</v>
      </c>
      <c r="M31" t="str">
        <f t="shared" si="3"/>
        <v>M</v>
      </c>
      <c r="N31" t="str">
        <f t="shared" si="3"/>
        <v>N</v>
      </c>
      <c r="O31" t="str">
        <f t="shared" si="3"/>
        <v>O</v>
      </c>
      <c r="P31" t="str">
        <f t="shared" si="3"/>
        <v>P</v>
      </c>
      <c r="Q31" t="str">
        <f t="shared" si="3"/>
        <v>Q</v>
      </c>
      <c r="R31" t="str">
        <f t="shared" si="3"/>
        <v>R</v>
      </c>
      <c r="S31" t="str">
        <f t="shared" si="3"/>
        <v>S</v>
      </c>
      <c r="T31" t="str">
        <f t="shared" si="3"/>
        <v>T</v>
      </c>
    </row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</sheetData>
  <mergeCells count="1">
    <mergeCell ref="K2:N2"/>
  </mergeCells>
  <dataValidations count="1">
    <dataValidation allowBlank="1" showErrorMessage="1" prompt="Used for Fifa lots if requried" sqref="I12:I15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127"/>
  <sheetViews>
    <sheetView tabSelected="1" zoomScale="99" zoomScaleNormal="99" zoomScaleSheetLayoutView="100" zoomScalePageLayoutView="200" workbookViewId="0">
      <selection activeCell="G21" sqref="G21"/>
    </sheetView>
  </sheetViews>
  <sheetFormatPr defaultColWidth="0" defaultRowHeight="15" zeroHeight="1"/>
  <cols>
    <col min="1" max="1" width="1.7109375" style="98" customWidth="1"/>
    <col min="2" max="2" width="6.85546875" style="98" customWidth="1"/>
    <col min="3" max="3" width="2.28515625" style="98" customWidth="1"/>
    <col min="4" max="4" width="6.42578125" style="98" customWidth="1"/>
    <col min="5" max="5" width="9.85546875" style="102" customWidth="1"/>
    <col min="6" max="6" width="36.28515625" style="98" bestFit="1" customWidth="1"/>
    <col min="7" max="7" width="20.5703125" style="100" bestFit="1" customWidth="1"/>
    <col min="8" max="8" width="6" style="100" bestFit="1" customWidth="1"/>
    <col min="9" max="9" width="6" style="103" customWidth="1"/>
    <col min="10" max="10" width="20.5703125" style="103" bestFit="1" customWidth="1"/>
    <col min="11" max="11" width="6" style="100" customWidth="1"/>
    <col min="12" max="12" width="1.7109375" style="100" customWidth="1"/>
    <col min="13" max="13" width="4" style="100" customWidth="1"/>
    <col min="14" max="14" width="1.7109375" style="100" customWidth="1"/>
    <col min="15" max="15" width="7.7109375" style="100" customWidth="1"/>
    <col min="16" max="16" width="12.7109375" style="100" customWidth="1"/>
    <col min="17" max="17" width="3.7109375" style="100" bestFit="1" customWidth="1"/>
    <col min="18" max="18" width="3.28515625" style="100" bestFit="1" customWidth="1"/>
    <col min="19" max="19" width="3.42578125" style="100" bestFit="1" customWidth="1"/>
    <col min="20" max="20" width="3.7109375" style="100" bestFit="1" customWidth="1"/>
    <col min="21" max="21" width="3.5703125" style="100" bestFit="1" customWidth="1"/>
    <col min="22" max="22" width="1.7109375" style="32" customWidth="1"/>
    <col min="23" max="23" width="1.7109375" style="55" hidden="1" customWidth="1"/>
    <col min="24" max="26" width="0" style="32" hidden="1" customWidth="1"/>
    <col min="27" max="16384" width="8.85546875" style="32" hidden="1"/>
  </cols>
  <sheetData>
    <row r="1" spans="1:25" ht="7.9" customHeight="1" thickBot="1">
      <c r="A1" s="34"/>
      <c r="B1" s="34"/>
      <c r="C1" s="34"/>
      <c r="D1" s="34"/>
      <c r="E1" s="35"/>
      <c r="F1" s="34"/>
      <c r="G1" s="34"/>
      <c r="H1" s="34"/>
      <c r="I1" s="35"/>
      <c r="J1" s="3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2"/>
    </row>
    <row r="2" spans="1:25" ht="13.9" customHeight="1">
      <c r="A2" s="34"/>
      <c r="B2" s="279" t="s">
        <v>545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106"/>
      <c r="N2" s="106"/>
      <c r="O2" s="306" t="s">
        <v>616</v>
      </c>
      <c r="P2" s="306"/>
      <c r="Q2" s="285">
        <f ca="1">NOW()</f>
        <v>42501.449675231481</v>
      </c>
      <c r="R2" s="285"/>
      <c r="S2" s="285"/>
      <c r="T2" s="285"/>
      <c r="U2" s="286"/>
      <c r="V2" s="34"/>
      <c r="W2" s="32"/>
    </row>
    <row r="3" spans="1:25" ht="13.9" customHeight="1">
      <c r="A3" s="90"/>
      <c r="B3" s="28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07"/>
      <c r="N3" s="107"/>
      <c r="O3" s="307" t="s">
        <v>617</v>
      </c>
      <c r="P3" s="307"/>
      <c r="Q3" s="287" t="s">
        <v>550</v>
      </c>
      <c r="R3" s="287"/>
      <c r="S3" s="287"/>
      <c r="T3" s="287"/>
      <c r="U3" s="288"/>
      <c r="V3" s="90"/>
      <c r="W3" s="33"/>
      <c r="X3" s="33"/>
    </row>
    <row r="4" spans="1:25" ht="13.9" customHeight="1">
      <c r="A4" s="90"/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07"/>
      <c r="N4" s="107"/>
      <c r="O4" s="308" t="s">
        <v>618</v>
      </c>
      <c r="P4" s="308"/>
      <c r="Q4" s="289">
        <f ca="1">NOW()-VLOOKUP(IF(LEFT(Q3,3)="GMT",Q3,VLOOKUP(Q3,Time!A2:B50,2)),Time!B51:E77,4)+2+Time!H1/24</f>
        <v>42501.449675231481</v>
      </c>
      <c r="R4" s="289"/>
      <c r="S4" s="289"/>
      <c r="T4" s="289"/>
      <c r="U4" s="290"/>
      <c r="V4" s="90"/>
      <c r="W4" s="33"/>
      <c r="X4" s="33"/>
    </row>
    <row r="5" spans="1:25" ht="13.9" customHeight="1" thickBot="1">
      <c r="A5" s="34"/>
      <c r="B5" s="283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108"/>
      <c r="N5" s="108"/>
      <c r="O5" s="309" t="s">
        <v>619</v>
      </c>
      <c r="P5" s="309"/>
      <c r="Q5" s="292" t="s">
        <v>537</v>
      </c>
      <c r="R5" s="292"/>
      <c r="S5" s="292"/>
      <c r="T5" s="292"/>
      <c r="U5" s="293"/>
      <c r="V5" s="34"/>
      <c r="W5" s="32"/>
    </row>
    <row r="6" spans="1:25" ht="15.75" thickBot="1">
      <c r="A6" s="93"/>
      <c r="B6" s="291" t="str">
        <f ca="1">IF(Time!K51+Time!K52+Time!K53+Time!K54&gt;0,CONCATENATE("There are just ",Time!K51," days, ",Time!K52," hours, ",Time!K53," minutes and ",Time!K54," seconds"," to go before the tournament kicks off!"),IF(D74-Q2&lt;0,CONCATENATE("Congratulations to the UEFA Euro 2016 Champions ",J76, ,"!!!"),"Tournament is in progress"))</f>
        <v>There are just 30 days, 10 hours, 12 minutes and 28 seconds to go before the tournament kicks off!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34"/>
      <c r="W6" s="32"/>
    </row>
    <row r="7" spans="1:25" ht="20.45" customHeight="1">
      <c r="A7" s="93"/>
      <c r="B7" s="208"/>
      <c r="C7" s="209"/>
      <c r="D7" s="209"/>
      <c r="E7" s="209"/>
      <c r="F7" s="216" t="s">
        <v>630</v>
      </c>
      <c r="G7" s="217"/>
      <c r="H7" s="217"/>
      <c r="I7" s="217"/>
      <c r="J7" s="217"/>
      <c r="K7" s="217"/>
      <c r="L7" s="235" t="s">
        <v>546</v>
      </c>
      <c r="M7" s="236"/>
      <c r="N7" s="236"/>
      <c r="O7" s="236"/>
      <c r="P7" s="236"/>
      <c r="Q7" s="236"/>
      <c r="R7" s="236"/>
      <c r="S7" s="236"/>
      <c r="T7" s="236"/>
      <c r="U7" s="237"/>
      <c r="V7" s="34"/>
      <c r="W7" s="32"/>
    </row>
    <row r="8" spans="1:25" ht="20.45" customHeight="1">
      <c r="A8" s="93"/>
      <c r="B8" s="210"/>
      <c r="C8" s="211"/>
      <c r="D8" s="211"/>
      <c r="E8" s="211"/>
      <c r="F8" s="218"/>
      <c r="G8" s="218"/>
      <c r="H8" s="218"/>
      <c r="I8" s="218"/>
      <c r="J8" s="218"/>
      <c r="K8" s="218"/>
      <c r="L8" s="238"/>
      <c r="M8" s="238"/>
      <c r="N8" s="238"/>
      <c r="O8" s="238"/>
      <c r="P8" s="238"/>
      <c r="Q8" s="238"/>
      <c r="R8" s="238"/>
      <c r="S8" s="238"/>
      <c r="T8" s="238"/>
      <c r="U8" s="239"/>
      <c r="V8" s="34"/>
      <c r="W8" s="32"/>
    </row>
    <row r="9" spans="1:25" ht="20.45" customHeight="1" thickBot="1">
      <c r="A9" s="93"/>
      <c r="B9" s="212"/>
      <c r="C9" s="213"/>
      <c r="D9" s="213"/>
      <c r="E9" s="213"/>
      <c r="F9" s="219"/>
      <c r="G9" s="219"/>
      <c r="H9" s="219"/>
      <c r="I9" s="219"/>
      <c r="J9" s="219"/>
      <c r="K9" s="219"/>
      <c r="L9" s="240"/>
      <c r="M9" s="240"/>
      <c r="N9" s="240"/>
      <c r="O9" s="240"/>
      <c r="P9" s="240"/>
      <c r="Q9" s="240"/>
      <c r="R9" s="240"/>
      <c r="S9" s="240"/>
      <c r="T9" s="240"/>
      <c r="U9" s="241"/>
      <c r="V9" s="34"/>
      <c r="W9" s="32"/>
    </row>
    <row r="10" spans="1:25" ht="32.450000000000003" customHeight="1" thickBot="1">
      <c r="A10" s="93"/>
      <c r="B10" s="299" t="s">
        <v>635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34"/>
      <c r="W10" s="32"/>
    </row>
    <row r="11" spans="1:25" ht="14.45" customHeight="1">
      <c r="A11" s="93"/>
      <c r="B11" s="191" t="s">
        <v>251</v>
      </c>
      <c r="C11" s="91"/>
      <c r="D11" s="91"/>
      <c r="E11" s="91"/>
      <c r="F11" s="91"/>
      <c r="G11" s="91"/>
      <c r="H11" s="247"/>
      <c r="I11" s="247"/>
      <c r="J11" s="91"/>
      <c r="K11" s="161"/>
      <c r="L11" s="94"/>
      <c r="M11" s="220" t="s">
        <v>632</v>
      </c>
      <c r="N11" s="221"/>
      <c r="O11" s="221"/>
      <c r="P11" s="221"/>
      <c r="Q11" s="221"/>
      <c r="R11" s="221"/>
      <c r="S11" s="221"/>
      <c r="T11" s="221"/>
      <c r="U11" s="222"/>
      <c r="V11" s="37"/>
      <c r="W11" s="32"/>
    </row>
    <row r="12" spans="1:25" s="38" customFormat="1" ht="15" customHeight="1" thickBot="1">
      <c r="A12" s="93"/>
      <c r="B12" s="261" t="str">
        <f>'Match data'!I1</f>
        <v>Match No</v>
      </c>
      <c r="C12" s="243"/>
      <c r="D12" s="243" t="s">
        <v>256</v>
      </c>
      <c r="E12" s="243"/>
      <c r="F12" s="193" t="str">
        <f>'Match data'!L1</f>
        <v>Stadium</v>
      </c>
      <c r="G12" s="193"/>
      <c r="H12" s="243" t="s">
        <v>254</v>
      </c>
      <c r="I12" s="243"/>
      <c r="J12" s="193"/>
      <c r="K12" s="36" t="s">
        <v>238</v>
      </c>
      <c r="L12" s="94"/>
      <c r="M12" s="223"/>
      <c r="N12" s="224"/>
      <c r="O12" s="224"/>
      <c r="P12" s="224"/>
      <c r="Q12" s="224"/>
      <c r="R12" s="224"/>
      <c r="S12" s="224"/>
      <c r="T12" s="224"/>
      <c r="U12" s="225"/>
      <c r="V12" s="37"/>
      <c r="W12" s="32"/>
      <c r="X12" s="32"/>
      <c r="Y12" s="32"/>
    </row>
    <row r="13" spans="1:25" ht="14.45" customHeight="1">
      <c r="A13" s="93"/>
      <c r="B13" s="246" t="s">
        <v>0</v>
      </c>
      <c r="C13" s="242"/>
      <c r="D13" s="242">
        <f>'Match data'!E2+'Match data'!F2+VLOOKUP(IF(LEFT(Q3,3)="GMT",Q3,VLOOKUP(Q3,Time!A2:B50,2)),Time!B$51:D$77,3)-2</f>
        <v>42531.875</v>
      </c>
      <c r="E13" s="242"/>
      <c r="F13" s="109" t="str">
        <f>'Match data'!L2</f>
        <v>SAINT-DENIS Stade de France</v>
      </c>
      <c r="G13" s="185" t="str">
        <f>'Match data'!H2</f>
        <v>France</v>
      </c>
      <c r="H13" s="152"/>
      <c r="I13" s="152"/>
      <c r="J13" s="185" t="str">
        <f>'Match data'!K2</f>
        <v>Romania</v>
      </c>
      <c r="K13" s="110" t="str">
        <f>'Match data'!C2</f>
        <v>A</v>
      </c>
      <c r="L13" s="94"/>
      <c r="M13" s="223"/>
      <c r="N13" s="224"/>
      <c r="O13" s="224"/>
      <c r="P13" s="224"/>
      <c r="Q13" s="224"/>
      <c r="R13" s="224"/>
      <c r="S13" s="224"/>
      <c r="T13" s="224"/>
      <c r="U13" s="225"/>
      <c r="V13" s="37"/>
      <c r="W13" s="32"/>
    </row>
    <row r="14" spans="1:25" ht="14.45" customHeight="1">
      <c r="A14" s="93"/>
      <c r="B14" s="246" t="s">
        <v>476</v>
      </c>
      <c r="C14" s="242"/>
      <c r="D14" s="242">
        <f>'Match data'!E3+'Match data'!F3+VLOOKUP(IF(LEFT(Q3,3)="GMT",Q3,VLOOKUP(Q3,Time!A2:B50,2)),Time!B$51:D$77,3)-2</f>
        <v>42532.625</v>
      </c>
      <c r="E14" s="242"/>
      <c r="F14" s="109" t="str">
        <f>'Match data'!L3</f>
        <v>LENS AGGLO Stade Bollaert-Delelis</v>
      </c>
      <c r="G14" s="185" t="str">
        <f>'Match data'!H3</f>
        <v>Albania</v>
      </c>
      <c r="H14" s="153"/>
      <c r="I14" s="153"/>
      <c r="J14" s="185" t="str">
        <f>'Match data'!K3</f>
        <v>Switzerland</v>
      </c>
      <c r="K14" s="110" t="str">
        <f>'Match data'!C3</f>
        <v>A</v>
      </c>
      <c r="L14" s="94"/>
      <c r="M14" s="223"/>
      <c r="N14" s="224"/>
      <c r="O14" s="224"/>
      <c r="P14" s="224"/>
      <c r="Q14" s="224"/>
      <c r="R14" s="224"/>
      <c r="S14" s="224"/>
      <c r="T14" s="224"/>
      <c r="U14" s="225"/>
      <c r="V14" s="37"/>
      <c r="W14" s="32"/>
    </row>
    <row r="15" spans="1:25" ht="14.45" customHeight="1">
      <c r="A15" s="93"/>
      <c r="B15" s="246" t="s">
        <v>477</v>
      </c>
      <c r="C15" s="242"/>
      <c r="D15" s="242">
        <f>'Match data'!E4+'Match data'!F4+VLOOKUP(IF(LEFT(Q3,3)="GMT",Q3,VLOOKUP(Q3,Time!A2:B50,2)),Time!B$51:D$77,3)-2</f>
        <v>42532.75</v>
      </c>
      <c r="E15" s="242"/>
      <c r="F15" s="109" t="str">
        <f>'Match data'!L4</f>
        <v>UX Stade de Bordeaux</v>
      </c>
      <c r="G15" s="185" t="str">
        <f>'Match data'!H4</f>
        <v>Wales</v>
      </c>
      <c r="H15" s="152"/>
      <c r="I15" s="152"/>
      <c r="J15" s="185" t="str">
        <f>'Match data'!K4</f>
        <v>Slovakia</v>
      </c>
      <c r="K15" s="110" t="str">
        <f>'Match data'!C4</f>
        <v>B</v>
      </c>
      <c r="L15" s="94"/>
      <c r="M15" s="223"/>
      <c r="N15" s="224"/>
      <c r="O15" s="224"/>
      <c r="P15" s="224"/>
      <c r="Q15" s="224"/>
      <c r="R15" s="224"/>
      <c r="S15" s="224"/>
      <c r="T15" s="224"/>
      <c r="U15" s="225"/>
      <c r="V15" s="37"/>
      <c r="W15" s="32"/>
    </row>
    <row r="16" spans="1:25" ht="14.45" customHeight="1">
      <c r="A16" s="93"/>
      <c r="B16" s="246" t="s">
        <v>478</v>
      </c>
      <c r="C16" s="242"/>
      <c r="D16" s="242">
        <f>'Match data'!E5+'Match data'!F5+VLOOKUP(IF(LEFT(Q3,3)="GMT",Q3,VLOOKUP(Q3,Time!A2:B50,2)),Time!B$51:D$77,3)-2</f>
        <v>42532.875</v>
      </c>
      <c r="E16" s="242"/>
      <c r="F16" s="109" t="str">
        <f>'Match data'!L5</f>
        <v>MARSEILLE Stade Vélodrome</v>
      </c>
      <c r="G16" s="185" t="str">
        <f>'Match data'!H5</f>
        <v>England</v>
      </c>
      <c r="H16" s="153"/>
      <c r="I16" s="153"/>
      <c r="J16" s="185" t="str">
        <f>'Match data'!K5</f>
        <v>Russia</v>
      </c>
      <c r="K16" s="110" t="str">
        <f>'Match data'!C5</f>
        <v>B</v>
      </c>
      <c r="L16" s="94"/>
      <c r="M16" s="223"/>
      <c r="N16" s="224"/>
      <c r="O16" s="224"/>
      <c r="P16" s="224"/>
      <c r="Q16" s="224"/>
      <c r="R16" s="224"/>
      <c r="S16" s="224"/>
      <c r="T16" s="224"/>
      <c r="U16" s="225"/>
      <c r="V16" s="37"/>
      <c r="W16" s="32"/>
    </row>
    <row r="17" spans="1:23" ht="14.45" customHeight="1">
      <c r="A17" s="93"/>
      <c r="B17" s="246" t="s">
        <v>479</v>
      </c>
      <c r="C17" s="242"/>
      <c r="D17" s="242">
        <f>'Match data'!E6+'Match data'!F6+VLOOKUP(IF(LEFT(Q3,3)="GMT",Q3,VLOOKUP(Q3,Time!A2:B50,2)),Time!B$51:D$77,3)-2</f>
        <v>42533.625</v>
      </c>
      <c r="E17" s="242"/>
      <c r="F17" s="109" t="str">
        <f>'Match data'!L6</f>
        <v>PARIS Parc des Princes</v>
      </c>
      <c r="G17" s="185" t="str">
        <f>'Match data'!H6</f>
        <v>Turkey</v>
      </c>
      <c r="H17" s="152"/>
      <c r="I17" s="152"/>
      <c r="J17" s="185" t="str">
        <f>'Match data'!K6</f>
        <v>Croatia</v>
      </c>
      <c r="K17" s="110" t="str">
        <f>'Match data'!C6</f>
        <v>D</v>
      </c>
      <c r="L17" s="94"/>
      <c r="M17" s="223"/>
      <c r="N17" s="224"/>
      <c r="O17" s="224"/>
      <c r="P17" s="224"/>
      <c r="Q17" s="224"/>
      <c r="R17" s="224"/>
      <c r="S17" s="224"/>
      <c r="T17" s="224"/>
      <c r="U17" s="225"/>
      <c r="V17" s="37"/>
      <c r="W17" s="32"/>
    </row>
    <row r="18" spans="1:23" ht="14.45" customHeight="1">
      <c r="A18" s="93"/>
      <c r="B18" s="246" t="s">
        <v>480</v>
      </c>
      <c r="C18" s="242"/>
      <c r="D18" s="242">
        <f>'Match data'!E7+'Match data'!F7+VLOOKUP(IF(LEFT(Q3,3)="GMT",Q3,VLOOKUP(Q3,Time!A2:B50,2)),Time!B$51:D$77,3)-2</f>
        <v>42533.75</v>
      </c>
      <c r="E18" s="242"/>
      <c r="F18" s="109" t="str">
        <f>'Match data'!L7</f>
        <v>NICE Stade de Nice</v>
      </c>
      <c r="G18" s="185" t="str">
        <f>'Match data'!H7</f>
        <v>Poland</v>
      </c>
      <c r="H18" s="153"/>
      <c r="I18" s="153"/>
      <c r="J18" s="185" t="str">
        <f>'Match data'!K7</f>
        <v>N Ireland</v>
      </c>
      <c r="K18" s="110" t="str">
        <f>'Match data'!C7</f>
        <v>C</v>
      </c>
      <c r="L18" s="94"/>
      <c r="M18" s="223"/>
      <c r="N18" s="224"/>
      <c r="O18" s="224"/>
      <c r="P18" s="224"/>
      <c r="Q18" s="224"/>
      <c r="R18" s="224"/>
      <c r="S18" s="224"/>
      <c r="T18" s="224"/>
      <c r="U18" s="225"/>
      <c r="V18" s="37"/>
      <c r="W18" s="32"/>
    </row>
    <row r="19" spans="1:23" ht="15" customHeight="1">
      <c r="A19" s="93"/>
      <c r="B19" s="246" t="s">
        <v>481</v>
      </c>
      <c r="C19" s="242"/>
      <c r="D19" s="242">
        <f>'Match data'!E8+'Match data'!F8+VLOOKUP(IF(LEFT(Q3,3)="GMT",Q3,VLOOKUP(Q3,Time!A2:B50,2)),Time!B$51:D$77,3)-2</f>
        <v>42533.875</v>
      </c>
      <c r="E19" s="242"/>
      <c r="F19" s="109" t="str">
        <f>'Match data'!L8</f>
        <v>LILLE MÉTROPOLE Stade Pierre Mauroy</v>
      </c>
      <c r="G19" s="185" t="str">
        <f>'Match data'!H8</f>
        <v>Germany</v>
      </c>
      <c r="H19" s="152"/>
      <c r="I19" s="152"/>
      <c r="J19" s="185" t="str">
        <f>'Match data'!K8</f>
        <v>Ukraine</v>
      </c>
      <c r="K19" s="110" t="str">
        <f>'Match data'!C8</f>
        <v>C</v>
      </c>
      <c r="L19" s="94"/>
      <c r="M19" s="226"/>
      <c r="N19" s="227"/>
      <c r="O19" s="227"/>
      <c r="P19" s="227"/>
      <c r="Q19" s="227"/>
      <c r="R19" s="227"/>
      <c r="S19" s="227"/>
      <c r="T19" s="227"/>
      <c r="U19" s="228"/>
      <c r="V19" s="37"/>
      <c r="W19" s="32"/>
    </row>
    <row r="20" spans="1:23" ht="15.75" thickBot="1">
      <c r="A20" s="93"/>
      <c r="B20" s="246" t="s">
        <v>482</v>
      </c>
      <c r="C20" s="242"/>
      <c r="D20" s="242">
        <f>'Match data'!E9+'Match data'!F9+VLOOKUP(IF(LEFT(Q3,3)="GMT",Q3,VLOOKUP(Q3,Time!A2:B50,2)),Time!B$51:D$77,3)-2</f>
        <v>42534.625</v>
      </c>
      <c r="E20" s="242"/>
      <c r="F20" s="109" t="str">
        <f>'Match data'!L9</f>
        <v>TOULOUSE Stadium de Toulouse</v>
      </c>
      <c r="G20" s="185" t="str">
        <f>'Match data'!H9</f>
        <v>Spain</v>
      </c>
      <c r="H20" s="153"/>
      <c r="I20" s="153"/>
      <c r="J20" s="185" t="str">
        <f>'Match data'!K9</f>
        <v>Czech Rep</v>
      </c>
      <c r="K20" s="110" t="str">
        <f>'Match data'!C9</f>
        <v>D</v>
      </c>
      <c r="L20" s="94"/>
      <c r="M20" s="94"/>
      <c r="N20" s="94"/>
      <c r="O20" s="93"/>
      <c r="P20" s="93"/>
      <c r="Q20" s="93"/>
      <c r="R20" s="162"/>
      <c r="S20" s="93"/>
      <c r="T20" s="93"/>
      <c r="U20" s="93"/>
      <c r="V20" s="37"/>
      <c r="W20" s="32"/>
    </row>
    <row r="21" spans="1:23" ht="15" customHeight="1">
      <c r="A21" s="93"/>
      <c r="B21" s="246" t="s">
        <v>495</v>
      </c>
      <c r="C21" s="242"/>
      <c r="D21" s="242">
        <f>'Match data'!E10+'Match data'!F10+VLOOKUP(IF(LEFT(Q3,3)="GMT",Q3,VLOOKUP(Q3,Time!A2:B50,2)),Time!B$51:D$77,3)-2</f>
        <v>42534.75</v>
      </c>
      <c r="E21" s="242"/>
      <c r="F21" s="109" t="str">
        <f>'Match data'!L10</f>
        <v>SAINT-DENIS Stade de France</v>
      </c>
      <c r="G21" s="185" t="str">
        <f>'Match data'!H10</f>
        <v>Rep Ireland</v>
      </c>
      <c r="H21" s="152"/>
      <c r="I21" s="152"/>
      <c r="J21" s="185" t="str">
        <f>'Match data'!K10</f>
        <v>Sweden</v>
      </c>
      <c r="K21" s="110" t="str">
        <f>'Match data'!C10</f>
        <v>E</v>
      </c>
      <c r="L21" s="94"/>
      <c r="M21" s="262" t="s">
        <v>636</v>
      </c>
      <c r="N21" s="93"/>
      <c r="O21" s="312" t="s">
        <v>317</v>
      </c>
      <c r="P21" s="313"/>
      <c r="Q21" s="91" t="s">
        <v>253</v>
      </c>
      <c r="R21" s="91" t="str">
        <f>GrpA!E11</f>
        <v>GF</v>
      </c>
      <c r="S21" s="91" t="str">
        <f>GrpA!F11</f>
        <v>GA</v>
      </c>
      <c r="T21" s="91" t="str">
        <f>GrpA!G11</f>
        <v>GD</v>
      </c>
      <c r="U21" s="92" t="s">
        <v>252</v>
      </c>
      <c r="V21" s="37"/>
      <c r="W21" s="37"/>
    </row>
    <row r="22" spans="1:23">
      <c r="A22" s="93"/>
      <c r="B22" s="246" t="s">
        <v>496</v>
      </c>
      <c r="C22" s="242"/>
      <c r="D22" s="242">
        <f>'Match data'!E11+'Match data'!F11+VLOOKUP(IF(LEFT(Q3,3)="GMT",Q3,VLOOKUP(Q3,Time!A2:B50,2)),Time!B$51:D$77,3)-2</f>
        <v>42534.875</v>
      </c>
      <c r="E22" s="242"/>
      <c r="F22" s="109" t="str">
        <f>'Match data'!L11</f>
        <v>LYON Stade de Lyon</v>
      </c>
      <c r="G22" s="185" t="str">
        <f>'Match data'!H11</f>
        <v>Belgium</v>
      </c>
      <c r="H22" s="153"/>
      <c r="I22" s="153"/>
      <c r="J22" s="185" t="str">
        <f>'Match data'!K11</f>
        <v>Italy</v>
      </c>
      <c r="K22" s="110" t="str">
        <f>'Match data'!C11</f>
        <v>E</v>
      </c>
      <c r="L22" s="94"/>
      <c r="M22" s="263"/>
      <c r="N22" s="93"/>
      <c r="O22" s="310" t="str">
        <f>GrpA!C12</f>
        <v>France</v>
      </c>
      <c r="P22" s="311"/>
      <c r="Q22" s="180">
        <f>GrpA!D12</f>
        <v>0</v>
      </c>
      <c r="R22" s="180">
        <f>GrpA!E12</f>
        <v>0</v>
      </c>
      <c r="S22" s="180">
        <f>GrpA!F12</f>
        <v>0</v>
      </c>
      <c r="T22" s="180">
        <f>GrpA!G12</f>
        <v>0</v>
      </c>
      <c r="U22" s="181">
        <f>GrpA!H12</f>
        <v>0</v>
      </c>
      <c r="V22" s="37"/>
      <c r="W22" s="37"/>
    </row>
    <row r="23" spans="1:23">
      <c r="A23" s="93"/>
      <c r="B23" s="246" t="s">
        <v>497</v>
      </c>
      <c r="C23" s="242"/>
      <c r="D23" s="242">
        <f>'Match data'!E12+'Match data'!F12+VLOOKUP(IF(LEFT(Q3,3)="GMT",Q3,VLOOKUP(Q3,Time!A2:B50,2)),Time!B$51:D$77,3)-2</f>
        <v>42535.75</v>
      </c>
      <c r="E23" s="242"/>
      <c r="F23" s="109" t="str">
        <f>'Match data'!L12</f>
        <v>UX Stade de Bordeaux</v>
      </c>
      <c r="G23" s="185" t="str">
        <f>'Match data'!H12</f>
        <v>Austria</v>
      </c>
      <c r="H23" s="152"/>
      <c r="I23" s="152"/>
      <c r="J23" s="185" t="str">
        <f>'Match data'!K12</f>
        <v>Hungary</v>
      </c>
      <c r="K23" s="110" t="str">
        <f>'Match data'!C12</f>
        <v>F</v>
      </c>
      <c r="L23" s="94"/>
      <c r="M23" s="263"/>
      <c r="N23" s="93"/>
      <c r="O23" s="265" t="str">
        <f>GrpA!C13</f>
        <v>Romania</v>
      </c>
      <c r="P23" s="266"/>
      <c r="Q23" s="182">
        <f>GrpA!D13</f>
        <v>0</v>
      </c>
      <c r="R23" s="182">
        <f>GrpA!E13</f>
        <v>0</v>
      </c>
      <c r="S23" s="182">
        <f>GrpA!F13</f>
        <v>0</v>
      </c>
      <c r="T23" s="182">
        <f>GrpA!G13</f>
        <v>0</v>
      </c>
      <c r="U23" s="183">
        <f>GrpA!H13</f>
        <v>0</v>
      </c>
      <c r="V23" s="37"/>
      <c r="W23" s="37"/>
    </row>
    <row r="24" spans="1:23">
      <c r="A24" s="93"/>
      <c r="B24" s="246" t="s">
        <v>498</v>
      </c>
      <c r="C24" s="242"/>
      <c r="D24" s="242">
        <f>'Match data'!E13+'Match data'!F13+VLOOKUP(IF(LEFT(Q3,3)="GMT",Q3,VLOOKUP(Q3,Time!A2:B50,2)),Time!B$51:D$77,3)-2</f>
        <v>42535.875</v>
      </c>
      <c r="E24" s="242"/>
      <c r="F24" s="109" t="str">
        <f>'Match data'!L13</f>
        <v>SAINT-ÉTIENNE Stade Geoffroy Guichard</v>
      </c>
      <c r="G24" s="185" t="str">
        <f>'Match data'!H13</f>
        <v>Portugal</v>
      </c>
      <c r="H24" s="153"/>
      <c r="I24" s="153"/>
      <c r="J24" s="185" t="str">
        <f>'Match data'!K13</f>
        <v>Iceland</v>
      </c>
      <c r="K24" s="110" t="str">
        <f>'Match data'!C13</f>
        <v>F</v>
      </c>
      <c r="L24" s="94"/>
      <c r="M24" s="263"/>
      <c r="N24" s="93"/>
      <c r="O24" s="267" t="str">
        <f>GrpA!C14</f>
        <v>Albania</v>
      </c>
      <c r="P24" s="268"/>
      <c r="Q24" s="118">
        <f>GrpA!D14</f>
        <v>0</v>
      </c>
      <c r="R24" s="118">
        <f>GrpA!E14</f>
        <v>0</v>
      </c>
      <c r="S24" s="118">
        <f>GrpA!F14</f>
        <v>0</v>
      </c>
      <c r="T24" s="118">
        <f>GrpA!G14</f>
        <v>0</v>
      </c>
      <c r="U24" s="119">
        <f>GrpA!H14</f>
        <v>0</v>
      </c>
      <c r="V24" s="37"/>
      <c r="W24" s="37"/>
    </row>
    <row r="25" spans="1:23" ht="15.75" thickBot="1">
      <c r="A25" s="93"/>
      <c r="B25" s="246" t="s">
        <v>499</v>
      </c>
      <c r="C25" s="242"/>
      <c r="D25" s="242">
        <f>'Match data'!E14+'Match data'!F14+VLOOKUP(IF(LEFT(Q3,3)="GMT",Q3,VLOOKUP(Q3,Time!A2:B50,2)),Time!B$51:D$77,3)-2</f>
        <v>42536.625</v>
      </c>
      <c r="E25" s="242"/>
      <c r="F25" s="109" t="str">
        <f>'Match data'!L14</f>
        <v>LILLE MÉTROPOLE Stade Pierre Mauroy</v>
      </c>
      <c r="G25" s="185" t="str">
        <f>'Match data'!H14</f>
        <v>Russia</v>
      </c>
      <c r="H25" s="152"/>
      <c r="I25" s="152"/>
      <c r="J25" s="185" t="str">
        <f>'Match data'!K14</f>
        <v>Slovakia</v>
      </c>
      <c r="K25" s="110" t="str">
        <f>'Match data'!C14</f>
        <v>B</v>
      </c>
      <c r="L25" s="94"/>
      <c r="M25" s="263"/>
      <c r="N25" s="93"/>
      <c r="O25" s="300" t="str">
        <f>GrpA!C15</f>
        <v>Switzerland</v>
      </c>
      <c r="P25" s="301"/>
      <c r="Q25" s="120">
        <f>GrpA!D15</f>
        <v>0</v>
      </c>
      <c r="R25" s="120">
        <f>GrpA!E15</f>
        <v>0</v>
      </c>
      <c r="S25" s="120">
        <f>GrpA!F15</f>
        <v>0</v>
      </c>
      <c r="T25" s="120">
        <f>GrpA!G15</f>
        <v>0</v>
      </c>
      <c r="U25" s="121">
        <f>GrpA!H15</f>
        <v>0</v>
      </c>
      <c r="V25" s="37"/>
      <c r="W25" s="37"/>
    </row>
    <row r="26" spans="1:23" ht="15.75" thickBot="1">
      <c r="A26" s="93"/>
      <c r="B26" s="246" t="s">
        <v>500</v>
      </c>
      <c r="C26" s="242"/>
      <c r="D26" s="242">
        <f>'Match data'!E15+'Match data'!F15+VLOOKUP(IF(LEFT(Q3,3)="GMT",Q3,VLOOKUP(Q3,Time!A2:B50,2)),Time!B$51:D$77,3)-2</f>
        <v>42536.75</v>
      </c>
      <c r="E26" s="242"/>
      <c r="F26" s="109" t="str">
        <f>'Match data'!L15</f>
        <v>PARIS Parc des Princes</v>
      </c>
      <c r="G26" s="185" t="str">
        <f>'Match data'!H15</f>
        <v>Romania</v>
      </c>
      <c r="H26" s="153"/>
      <c r="I26" s="153"/>
      <c r="J26" s="185" t="str">
        <f>'Match data'!K15</f>
        <v>Switzerland</v>
      </c>
      <c r="K26" s="110" t="str">
        <f>'Match data'!C15</f>
        <v>A</v>
      </c>
      <c r="L26" s="94"/>
      <c r="M26" s="263"/>
      <c r="N26" s="93"/>
      <c r="O26" s="294"/>
      <c r="P26" s="294"/>
      <c r="Q26" s="294"/>
      <c r="R26" s="294"/>
      <c r="S26" s="294"/>
      <c r="T26" s="294"/>
      <c r="U26" s="294"/>
      <c r="V26" s="37"/>
      <c r="W26" s="37"/>
    </row>
    <row r="27" spans="1:23">
      <c r="A27" s="93"/>
      <c r="B27" s="246" t="s">
        <v>501</v>
      </c>
      <c r="C27" s="242"/>
      <c r="D27" s="242">
        <f>'Match data'!E16+'Match data'!F16+VLOOKUP(IF(LEFT(Q3,3)="GMT",Q3,VLOOKUP(Q3,Time!A2:B50,2)),Time!B$51:D$77,3)-2</f>
        <v>42536.875</v>
      </c>
      <c r="E27" s="242"/>
      <c r="F27" s="109" t="str">
        <f>'Match data'!L16</f>
        <v>MARSEILLE Stade Vélodrome</v>
      </c>
      <c r="G27" s="185" t="str">
        <f>'Match data'!H16</f>
        <v>France</v>
      </c>
      <c r="H27" s="152"/>
      <c r="I27" s="152"/>
      <c r="J27" s="185" t="str">
        <f>'Match data'!K16</f>
        <v>Albania</v>
      </c>
      <c r="K27" s="110" t="str">
        <f>'Match data'!C16</f>
        <v>A</v>
      </c>
      <c r="L27" s="94"/>
      <c r="M27" s="263"/>
      <c r="N27" s="93"/>
      <c r="O27" s="302" t="s">
        <v>318</v>
      </c>
      <c r="P27" s="303"/>
      <c r="Q27" s="122" t="str">
        <f>Q21</f>
        <v>Pld</v>
      </c>
      <c r="R27" s="122" t="str">
        <f t="shared" ref="R27:T27" si="0">R21</f>
        <v>GF</v>
      </c>
      <c r="S27" s="122" t="str">
        <f t="shared" si="0"/>
        <v>GA</v>
      </c>
      <c r="T27" s="122" t="str">
        <f t="shared" si="0"/>
        <v>GD</v>
      </c>
      <c r="U27" s="123" t="str">
        <f>U21</f>
        <v>Pts</v>
      </c>
      <c r="V27" s="37"/>
      <c r="W27" s="37"/>
    </row>
    <row r="28" spans="1:23">
      <c r="A28" s="93"/>
      <c r="B28" s="246" t="s">
        <v>502</v>
      </c>
      <c r="C28" s="242"/>
      <c r="D28" s="242">
        <f>'Match data'!E17+'Match data'!F17+VLOOKUP(IF(LEFT(Q3,3)="GMT",Q3,VLOOKUP(Q3,Time!A2:B50,2)),Time!B$51:D$77,3)-2</f>
        <v>42537.625</v>
      </c>
      <c r="E28" s="242"/>
      <c r="F28" s="109" t="str">
        <f>'Match data'!L17</f>
        <v>LENS AGGLO Stade Bollaert-Delelis</v>
      </c>
      <c r="G28" s="185" t="str">
        <f>'Match data'!H17</f>
        <v>England</v>
      </c>
      <c r="H28" s="153"/>
      <c r="I28" s="153"/>
      <c r="J28" s="185" t="str">
        <f>'Match data'!K17</f>
        <v>Wales</v>
      </c>
      <c r="K28" s="110" t="str">
        <f>'Match data'!C17</f>
        <v>B</v>
      </c>
      <c r="L28" s="94"/>
      <c r="M28" s="263"/>
      <c r="N28" s="93"/>
      <c r="O28" s="304" t="str">
        <f>GrpB!C12</f>
        <v>England</v>
      </c>
      <c r="P28" s="305"/>
      <c r="Q28" s="176">
        <f>GrpB!D12</f>
        <v>0</v>
      </c>
      <c r="R28" s="176">
        <f>GrpB!E12</f>
        <v>0</v>
      </c>
      <c r="S28" s="176">
        <f>GrpB!F12</f>
        <v>0</v>
      </c>
      <c r="T28" s="176">
        <f>GrpB!G12</f>
        <v>0</v>
      </c>
      <c r="U28" s="177">
        <f>GrpB!H12</f>
        <v>0</v>
      </c>
      <c r="V28" s="37"/>
      <c r="W28" s="37"/>
    </row>
    <row r="29" spans="1:23">
      <c r="A29" s="93"/>
      <c r="B29" s="246" t="s">
        <v>503</v>
      </c>
      <c r="C29" s="242"/>
      <c r="D29" s="242">
        <f>'Match data'!E18+'Match data'!F18+VLOOKUP(IF(LEFT(Q3,3)="GMT",Q3,VLOOKUP(Q3,Time!A2:B50,2)),Time!B$51:D$77,3)-2</f>
        <v>42537.75</v>
      </c>
      <c r="E29" s="242"/>
      <c r="F29" s="109" t="str">
        <f>'Match data'!L18</f>
        <v>LYON Stade de Lyon</v>
      </c>
      <c r="G29" s="185" t="str">
        <f>'Match data'!H18</f>
        <v>Ukraine</v>
      </c>
      <c r="H29" s="152"/>
      <c r="I29" s="152"/>
      <c r="J29" s="185" t="str">
        <f>'Match data'!K18</f>
        <v>N Ireland</v>
      </c>
      <c r="K29" s="110" t="str">
        <f>'Match data'!C18</f>
        <v>C</v>
      </c>
      <c r="L29" s="94"/>
      <c r="M29" s="263"/>
      <c r="N29" s="93"/>
      <c r="O29" s="320" t="str">
        <f>GrpB!C13</f>
        <v>Russia</v>
      </c>
      <c r="P29" s="321"/>
      <c r="Q29" s="178">
        <f>GrpB!D13</f>
        <v>0</v>
      </c>
      <c r="R29" s="178">
        <f>GrpB!E13</f>
        <v>0</v>
      </c>
      <c r="S29" s="178">
        <f>GrpB!F13</f>
        <v>0</v>
      </c>
      <c r="T29" s="178">
        <f>GrpB!G13</f>
        <v>0</v>
      </c>
      <c r="U29" s="179">
        <f>GrpB!H13</f>
        <v>0</v>
      </c>
      <c r="V29" s="37"/>
      <c r="W29" s="37"/>
    </row>
    <row r="30" spans="1:23">
      <c r="A30" s="93"/>
      <c r="B30" s="246" t="s">
        <v>504</v>
      </c>
      <c r="C30" s="242"/>
      <c r="D30" s="242">
        <f>'Match data'!E19+'Match data'!F19+VLOOKUP(IF(LEFT(Q3,3)="GMT",Q3,VLOOKUP(Q3,Time!A2:B50,2)),Time!B$51:D$77,3)-2</f>
        <v>42537.875</v>
      </c>
      <c r="E30" s="242"/>
      <c r="F30" s="109" t="str">
        <f>'Match data'!L19</f>
        <v>SAINT-DENIS Stade de France</v>
      </c>
      <c r="G30" s="185" t="str">
        <f>'Match data'!H19</f>
        <v>Germany</v>
      </c>
      <c r="H30" s="153"/>
      <c r="I30" s="153"/>
      <c r="J30" s="185" t="str">
        <f>'Match data'!K19</f>
        <v>Poland</v>
      </c>
      <c r="K30" s="110" t="str">
        <f>'Match data'!C19</f>
        <v>C</v>
      </c>
      <c r="L30" s="94"/>
      <c r="M30" s="263"/>
      <c r="N30" s="93"/>
      <c r="O30" s="322" t="str">
        <f>GrpB!C14</f>
        <v>Wales</v>
      </c>
      <c r="P30" s="323"/>
      <c r="Q30" s="124">
        <f>GrpB!D14</f>
        <v>0</v>
      </c>
      <c r="R30" s="124">
        <f>GrpB!E14</f>
        <v>0</v>
      </c>
      <c r="S30" s="124">
        <f>GrpB!F14</f>
        <v>0</v>
      </c>
      <c r="T30" s="124">
        <f>GrpB!G14</f>
        <v>0</v>
      </c>
      <c r="U30" s="125">
        <f>GrpB!H14</f>
        <v>0</v>
      </c>
      <c r="V30" s="37"/>
      <c r="W30" s="37"/>
    </row>
    <row r="31" spans="1:23" ht="15.75" thickBot="1">
      <c r="A31" s="93"/>
      <c r="B31" s="246" t="s">
        <v>505</v>
      </c>
      <c r="C31" s="242"/>
      <c r="D31" s="242">
        <f>'Match data'!E20+'Match data'!F20+VLOOKUP(IF(LEFT(Q3,3)="GMT",Q3,VLOOKUP(Q3,Time!A2:B50,2)),Time!B$51:D$77,3)-2</f>
        <v>42538.625</v>
      </c>
      <c r="E31" s="242"/>
      <c r="F31" s="109" t="str">
        <f>'Match data'!L20</f>
        <v>TOULOUSE Stadium de Toulouse</v>
      </c>
      <c r="G31" s="185" t="str">
        <f>'Match data'!H20</f>
        <v>Italy</v>
      </c>
      <c r="H31" s="152"/>
      <c r="I31" s="152"/>
      <c r="J31" s="185" t="str">
        <f>'Match data'!K20</f>
        <v>Sweden</v>
      </c>
      <c r="K31" s="110" t="str">
        <f>'Match data'!C20</f>
        <v>E</v>
      </c>
      <c r="L31" s="94"/>
      <c r="M31" s="263"/>
      <c r="N31" s="93"/>
      <c r="O31" s="324" t="str">
        <f>GrpB!C15</f>
        <v>Slovakia</v>
      </c>
      <c r="P31" s="325"/>
      <c r="Q31" s="126">
        <f>GrpB!D15</f>
        <v>0</v>
      </c>
      <c r="R31" s="126">
        <f>GrpB!E15</f>
        <v>0</v>
      </c>
      <c r="S31" s="126">
        <f>GrpB!F15</f>
        <v>0</v>
      </c>
      <c r="T31" s="126">
        <f>GrpB!G15</f>
        <v>0</v>
      </c>
      <c r="U31" s="127">
        <f>GrpB!H15</f>
        <v>0</v>
      </c>
      <c r="V31" s="37"/>
      <c r="W31" s="37"/>
    </row>
    <row r="32" spans="1:23" ht="15.75" thickBot="1">
      <c r="A32" s="93"/>
      <c r="B32" s="246" t="s">
        <v>506</v>
      </c>
      <c r="C32" s="242"/>
      <c r="D32" s="242">
        <f>'Match data'!E21+'Match data'!F21+VLOOKUP(IF(LEFT(Q3,3)="GMT",Q3,VLOOKUP(Q3,Time!A2:B50,2)),Time!B$51:D$77,3)-2</f>
        <v>42538.75</v>
      </c>
      <c r="E32" s="242"/>
      <c r="F32" s="109" t="str">
        <f>'Match data'!L21</f>
        <v>SAINT-ÉTIENNE Stade Geoffroy Guichard</v>
      </c>
      <c r="G32" s="185" t="str">
        <f>'Match data'!H21</f>
        <v>Czech Rep</v>
      </c>
      <c r="H32" s="153"/>
      <c r="I32" s="153"/>
      <c r="J32" s="185" t="str">
        <f>'Match data'!K21</f>
        <v>Croatia</v>
      </c>
      <c r="K32" s="110" t="str">
        <f>'Match data'!C21</f>
        <v>D</v>
      </c>
      <c r="L32" s="93"/>
      <c r="M32" s="263"/>
      <c r="N32" s="93"/>
      <c r="O32" s="294"/>
      <c r="P32" s="294"/>
      <c r="Q32" s="294"/>
      <c r="R32" s="294"/>
      <c r="S32" s="294"/>
      <c r="T32" s="294"/>
      <c r="U32" s="294"/>
      <c r="V32" s="37"/>
      <c r="W32" s="34"/>
    </row>
    <row r="33" spans="1:23" ht="15.75" thickBot="1">
      <c r="A33" s="93"/>
      <c r="B33" s="246" t="s">
        <v>507</v>
      </c>
      <c r="C33" s="242"/>
      <c r="D33" s="242">
        <f>'Match data'!E22+'Match data'!F22+VLOOKUP(IF(LEFT(Q3,3)="GMT",Q3,VLOOKUP(Q3,Time!A2:B50,2)),Time!B$51:D$77,3)-2</f>
        <v>42538.875</v>
      </c>
      <c r="E33" s="242"/>
      <c r="F33" s="109" t="str">
        <f>'Match data'!L22</f>
        <v>NICE Stade de Nice</v>
      </c>
      <c r="G33" s="185" t="str">
        <f>'Match data'!H22</f>
        <v>Spain</v>
      </c>
      <c r="H33" s="152"/>
      <c r="I33" s="152"/>
      <c r="J33" s="185" t="str">
        <f>'Match data'!K22</f>
        <v>Turkey</v>
      </c>
      <c r="K33" s="110" t="str">
        <f>'Match data'!C22</f>
        <v>D</v>
      </c>
      <c r="L33" s="93"/>
      <c r="M33" s="263"/>
      <c r="N33" s="93"/>
      <c r="O33" s="326" t="s">
        <v>319</v>
      </c>
      <c r="P33" s="327"/>
      <c r="Q33" s="128" t="str">
        <f>Q27</f>
        <v>Pld</v>
      </c>
      <c r="R33" s="128" t="str">
        <f t="shared" ref="R33:T33" si="1">R27</f>
        <v>GF</v>
      </c>
      <c r="S33" s="128" t="str">
        <f t="shared" si="1"/>
        <v>GA</v>
      </c>
      <c r="T33" s="128" t="str">
        <f t="shared" si="1"/>
        <v>GD</v>
      </c>
      <c r="U33" s="129" t="str">
        <f>U27</f>
        <v>Pts</v>
      </c>
      <c r="V33" s="37"/>
      <c r="W33" s="34"/>
    </row>
    <row r="34" spans="1:23">
      <c r="A34" s="93"/>
      <c r="B34" s="246" t="s">
        <v>508</v>
      </c>
      <c r="C34" s="242"/>
      <c r="D34" s="242">
        <f>'Match data'!E23+'Match data'!F23+VLOOKUP(IF(LEFT(Q3,3)="GMT",Q3,VLOOKUP(Q3,Time!A2:B50,2)),Time!B$51:D$77,3)-2</f>
        <v>42539.625</v>
      </c>
      <c r="E34" s="242"/>
      <c r="F34" s="109" t="str">
        <f>'Match data'!L23</f>
        <v>UX Stade de Bordeaux</v>
      </c>
      <c r="G34" s="185" t="str">
        <f>'Match data'!H23</f>
        <v>Belgium</v>
      </c>
      <c r="H34" s="153"/>
      <c r="I34" s="153"/>
      <c r="J34" s="185" t="str">
        <f>'Match data'!K23</f>
        <v>Rep Ireland</v>
      </c>
      <c r="K34" s="110" t="str">
        <f>'Match data'!C23</f>
        <v>E</v>
      </c>
      <c r="L34" s="93"/>
      <c r="M34" s="263"/>
      <c r="N34" s="93"/>
      <c r="O34" s="328" t="str">
        <f>GrpC!C12</f>
        <v>Germany</v>
      </c>
      <c r="P34" s="329"/>
      <c r="Q34" s="172">
        <f>GrpC!D12</f>
        <v>0</v>
      </c>
      <c r="R34" s="172">
        <f>GrpC!E12</f>
        <v>0</v>
      </c>
      <c r="S34" s="172">
        <f>GrpC!F12</f>
        <v>0</v>
      </c>
      <c r="T34" s="172">
        <f>GrpC!G12</f>
        <v>0</v>
      </c>
      <c r="U34" s="173">
        <f>GrpC!H12</f>
        <v>0</v>
      </c>
      <c r="V34" s="37"/>
      <c r="W34" s="34"/>
    </row>
    <row r="35" spans="1:23">
      <c r="A35" s="93"/>
      <c r="B35" s="246" t="s">
        <v>509</v>
      </c>
      <c r="C35" s="242"/>
      <c r="D35" s="242">
        <f>'Match data'!E24+'Match data'!F24+VLOOKUP(IF(LEFT(Q3,3)="GMT",Q3,VLOOKUP(Q3,Time!A2:B50,2)),Time!B$51:D$77,3)-2</f>
        <v>42539.75</v>
      </c>
      <c r="E35" s="242"/>
      <c r="F35" s="109" t="str">
        <f>'Match data'!L24</f>
        <v>MARSEILLE Stade Vélodrome</v>
      </c>
      <c r="G35" s="185" t="str">
        <f>'Match data'!H24</f>
        <v>Iceland</v>
      </c>
      <c r="H35" s="152"/>
      <c r="I35" s="152"/>
      <c r="J35" s="185" t="str">
        <f>'Match data'!K24</f>
        <v>Hungary</v>
      </c>
      <c r="K35" s="110" t="str">
        <f>'Match data'!C24</f>
        <v>F</v>
      </c>
      <c r="L35" s="93"/>
      <c r="M35" s="263"/>
      <c r="N35" s="93"/>
      <c r="O35" s="295" t="str">
        <f>GrpC!C13</f>
        <v>Ukraine</v>
      </c>
      <c r="P35" s="296"/>
      <c r="Q35" s="174">
        <f>GrpC!D13</f>
        <v>0</v>
      </c>
      <c r="R35" s="174">
        <f>GrpC!E13</f>
        <v>0</v>
      </c>
      <c r="S35" s="174">
        <f>GrpC!F13</f>
        <v>0</v>
      </c>
      <c r="T35" s="174">
        <f>GrpC!G13</f>
        <v>0</v>
      </c>
      <c r="U35" s="175">
        <f>GrpC!H13</f>
        <v>0</v>
      </c>
      <c r="V35" s="37"/>
      <c r="W35" s="34"/>
    </row>
    <row r="36" spans="1:23">
      <c r="A36" s="93"/>
      <c r="B36" s="246" t="s">
        <v>510</v>
      </c>
      <c r="C36" s="242"/>
      <c r="D36" s="242">
        <f>'Match data'!E25+'Match data'!F25+VLOOKUP(IF(LEFT(Q3,3)="GMT",Q3,VLOOKUP(Q3,Time!A2:B50,2)),Time!B$51:D$77,3)-2</f>
        <v>42539.875</v>
      </c>
      <c r="E36" s="242"/>
      <c r="F36" s="109" t="str">
        <f>'Match data'!L25</f>
        <v>PARIS Parc des Princes</v>
      </c>
      <c r="G36" s="185" t="str">
        <f>'Match data'!H25</f>
        <v>Portugal</v>
      </c>
      <c r="H36" s="153"/>
      <c r="I36" s="153"/>
      <c r="J36" s="185" t="str">
        <f>'Match data'!K25</f>
        <v>Austria</v>
      </c>
      <c r="K36" s="110" t="str">
        <f>'Match data'!C25</f>
        <v>F</v>
      </c>
      <c r="L36" s="93"/>
      <c r="M36" s="263"/>
      <c r="N36" s="93"/>
      <c r="O36" s="297" t="str">
        <f>GrpC!C14</f>
        <v>Poland</v>
      </c>
      <c r="P36" s="298"/>
      <c r="Q36" s="130">
        <f>GrpC!D14</f>
        <v>0</v>
      </c>
      <c r="R36" s="130">
        <f>GrpC!E14</f>
        <v>0</v>
      </c>
      <c r="S36" s="130">
        <f>GrpC!F14</f>
        <v>0</v>
      </c>
      <c r="T36" s="130">
        <f>GrpC!G14</f>
        <v>0</v>
      </c>
      <c r="U36" s="131">
        <f>GrpC!H14</f>
        <v>0</v>
      </c>
      <c r="V36" s="37"/>
      <c r="W36" s="34"/>
    </row>
    <row r="37" spans="1:23" ht="15.75" thickBot="1">
      <c r="A37" s="93"/>
      <c r="B37" s="246" t="s">
        <v>511</v>
      </c>
      <c r="C37" s="242"/>
      <c r="D37" s="242">
        <f>'Match data'!E26+'Match data'!F26+VLOOKUP(IF(LEFT(Q3,3)="GMT",Q3,VLOOKUP(Q3,Time!A2:B50,2)),Time!B$51:D$77,3)-2</f>
        <v>42540.875</v>
      </c>
      <c r="E37" s="242"/>
      <c r="F37" s="109" t="str">
        <f>'Match data'!L26</f>
        <v>LYON Stade de Lyon</v>
      </c>
      <c r="G37" s="185" t="str">
        <f>'Match data'!H26</f>
        <v>Romania</v>
      </c>
      <c r="H37" s="152"/>
      <c r="I37" s="152"/>
      <c r="J37" s="185" t="str">
        <f>'Match data'!K26</f>
        <v>Albania</v>
      </c>
      <c r="K37" s="110" t="str">
        <f>'Match data'!C26</f>
        <v>A</v>
      </c>
      <c r="L37" s="93"/>
      <c r="M37" s="263"/>
      <c r="N37" s="93"/>
      <c r="O37" s="314" t="str">
        <f>GrpC!C15</f>
        <v>N Ireland</v>
      </c>
      <c r="P37" s="315"/>
      <c r="Q37" s="132">
        <f>GrpC!D15</f>
        <v>0</v>
      </c>
      <c r="R37" s="132">
        <f>GrpC!E15</f>
        <v>0</v>
      </c>
      <c r="S37" s="132">
        <f>GrpC!F15</f>
        <v>0</v>
      </c>
      <c r="T37" s="132">
        <f>GrpC!G15</f>
        <v>0</v>
      </c>
      <c r="U37" s="133">
        <f>GrpC!H15</f>
        <v>0</v>
      </c>
      <c r="V37" s="37"/>
      <c r="W37" s="34"/>
    </row>
    <row r="38" spans="1:23" ht="15.75" thickBot="1">
      <c r="A38" s="93"/>
      <c r="B38" s="246" t="s">
        <v>512</v>
      </c>
      <c r="C38" s="242"/>
      <c r="D38" s="242">
        <f>'Match data'!E27+'Match data'!F27+VLOOKUP(IF(LEFT(Q3,3)="GMT",Q3,VLOOKUP(Q3,Time!A2:B50,2)),Time!B$51:D$77,3)-2</f>
        <v>42540.875</v>
      </c>
      <c r="E38" s="242"/>
      <c r="F38" s="109" t="str">
        <f>'Match data'!L27</f>
        <v>LILLE MÉTROPOLE Stade Pierre Mauroy</v>
      </c>
      <c r="G38" s="185" t="str">
        <f>'Match data'!H27</f>
        <v>Switzerland</v>
      </c>
      <c r="H38" s="153"/>
      <c r="I38" s="153"/>
      <c r="J38" s="185" t="str">
        <f>'Match data'!K27</f>
        <v>France</v>
      </c>
      <c r="K38" s="110" t="str">
        <f>'Match data'!C27</f>
        <v>A</v>
      </c>
      <c r="L38" s="93"/>
      <c r="M38" s="263"/>
      <c r="N38" s="93"/>
      <c r="O38" s="294"/>
      <c r="P38" s="294"/>
      <c r="Q38" s="294"/>
      <c r="R38" s="294"/>
      <c r="S38" s="294"/>
      <c r="T38" s="294"/>
      <c r="U38" s="294"/>
      <c r="V38" s="37"/>
      <c r="W38" s="34"/>
    </row>
    <row r="39" spans="1:23" ht="15.75" thickBot="1">
      <c r="A39" s="93"/>
      <c r="B39" s="246" t="s">
        <v>513</v>
      </c>
      <c r="C39" s="242"/>
      <c r="D39" s="242">
        <f>'Match data'!E28+'Match data'!F28+VLOOKUP(IF(LEFT(Q3,3)="GMT",Q3,VLOOKUP(Q3,Time!A2:B50,2)),Time!B$51:D$77,3)-2</f>
        <v>42541.875</v>
      </c>
      <c r="E39" s="242"/>
      <c r="F39" s="109" t="str">
        <f>'Match data'!L28</f>
        <v>TOULOUSE Stadium de Toulouse</v>
      </c>
      <c r="G39" s="185" t="str">
        <f>'Match data'!H28</f>
        <v>Russia</v>
      </c>
      <c r="H39" s="152"/>
      <c r="I39" s="152"/>
      <c r="J39" s="185" t="str">
        <f>'Match data'!K28</f>
        <v>Wales</v>
      </c>
      <c r="K39" s="110" t="str">
        <f>'Match data'!C28</f>
        <v>B</v>
      </c>
      <c r="L39" s="93"/>
      <c r="M39" s="263"/>
      <c r="N39" s="93"/>
      <c r="O39" s="316" t="s">
        <v>320</v>
      </c>
      <c r="P39" s="317"/>
      <c r="Q39" s="134" t="str">
        <f>Q33</f>
        <v>Pld</v>
      </c>
      <c r="R39" s="134" t="str">
        <f t="shared" ref="R39:T39" si="2">R33</f>
        <v>GF</v>
      </c>
      <c r="S39" s="134" t="str">
        <f t="shared" si="2"/>
        <v>GA</v>
      </c>
      <c r="T39" s="134" t="str">
        <f t="shared" si="2"/>
        <v>GD</v>
      </c>
      <c r="U39" s="135" t="str">
        <f>U33</f>
        <v>Pts</v>
      </c>
      <c r="V39" s="37"/>
      <c r="W39" s="34"/>
    </row>
    <row r="40" spans="1:23">
      <c r="A40" s="93"/>
      <c r="B40" s="246" t="s">
        <v>514</v>
      </c>
      <c r="C40" s="242"/>
      <c r="D40" s="242">
        <f>'Match data'!E29+'Match data'!F29+VLOOKUP(IF(LEFT(Q3,3)="GMT",Q3,VLOOKUP(Q3,Time!A2:B50,2)),Time!B$51:D$77,3)-2</f>
        <v>42541.875</v>
      </c>
      <c r="E40" s="242"/>
      <c r="F40" s="109" t="str">
        <f>'Match data'!L29</f>
        <v>SAINT-ÉTIENNE Stade Geoffroy Guichard</v>
      </c>
      <c r="G40" s="185" t="str">
        <f>'Match data'!H29</f>
        <v>Slovakia</v>
      </c>
      <c r="H40" s="153"/>
      <c r="I40" s="153"/>
      <c r="J40" s="185" t="str">
        <f>'Match data'!K29</f>
        <v>England</v>
      </c>
      <c r="K40" s="110" t="str">
        <f>'Match data'!C29</f>
        <v>B</v>
      </c>
      <c r="L40" s="93"/>
      <c r="M40" s="263"/>
      <c r="N40" s="93"/>
      <c r="O40" s="318" t="str">
        <f>GrpD!C12</f>
        <v>Spain</v>
      </c>
      <c r="P40" s="319"/>
      <c r="Q40" s="168">
        <f>GrpD!D12</f>
        <v>0</v>
      </c>
      <c r="R40" s="168">
        <f>GrpD!E12</f>
        <v>0</v>
      </c>
      <c r="S40" s="168">
        <f>GrpD!F12</f>
        <v>0</v>
      </c>
      <c r="T40" s="168">
        <f>GrpD!G12</f>
        <v>0</v>
      </c>
      <c r="U40" s="169">
        <f>GrpD!H12</f>
        <v>0</v>
      </c>
      <c r="V40" s="37"/>
      <c r="W40" s="34"/>
    </row>
    <row r="41" spans="1:23">
      <c r="A41" s="93"/>
      <c r="B41" s="246" t="s">
        <v>515</v>
      </c>
      <c r="C41" s="242"/>
      <c r="D41" s="242">
        <f>'Match data'!E30+'Match data'!F30+VLOOKUP(IF(LEFT(Q3,3)="GMT",Q3,VLOOKUP(Q3,Time!A2:B50,2)),Time!B$51:D$77,3)-2</f>
        <v>42542.75</v>
      </c>
      <c r="E41" s="242"/>
      <c r="F41" s="109" t="str">
        <f>'Match data'!L30</f>
        <v>MARSEILLE Stade Vélodrome</v>
      </c>
      <c r="G41" s="185" t="str">
        <f>'Match data'!H30</f>
        <v>Ukraine</v>
      </c>
      <c r="H41" s="152"/>
      <c r="I41" s="152"/>
      <c r="J41" s="185" t="str">
        <f>'Match data'!K30</f>
        <v>Poland</v>
      </c>
      <c r="K41" s="110" t="str">
        <f>'Match data'!C30</f>
        <v>C</v>
      </c>
      <c r="L41" s="93"/>
      <c r="M41" s="263"/>
      <c r="N41" s="93"/>
      <c r="O41" s="340" t="str">
        <f>GrpD!C13</f>
        <v>Czech Rep</v>
      </c>
      <c r="P41" s="341"/>
      <c r="Q41" s="170">
        <f>GrpD!D13</f>
        <v>0</v>
      </c>
      <c r="R41" s="170">
        <f>GrpD!E13</f>
        <v>0</v>
      </c>
      <c r="S41" s="170">
        <f>GrpD!F13</f>
        <v>0</v>
      </c>
      <c r="T41" s="170">
        <f>GrpD!G13</f>
        <v>0</v>
      </c>
      <c r="U41" s="171">
        <f>GrpD!H13</f>
        <v>0</v>
      </c>
      <c r="V41" s="37"/>
      <c r="W41" s="34"/>
    </row>
    <row r="42" spans="1:23">
      <c r="A42" s="93"/>
      <c r="B42" s="246" t="s">
        <v>516</v>
      </c>
      <c r="C42" s="242"/>
      <c r="D42" s="242">
        <f>'Match data'!E31+'Match data'!F31+VLOOKUP(IF(LEFT(Q3,3)="GMT",Q3,VLOOKUP(Q3,Time!A2:B50,2)),Time!B$51:D$77,3)-2</f>
        <v>42542.75</v>
      </c>
      <c r="E42" s="242"/>
      <c r="F42" s="109" t="str">
        <f>'Match data'!L31</f>
        <v>PARIS Parc des Princes</v>
      </c>
      <c r="G42" s="185" t="str">
        <f>'Match data'!H31</f>
        <v>N Ireland</v>
      </c>
      <c r="H42" s="153"/>
      <c r="I42" s="153"/>
      <c r="J42" s="185" t="str">
        <f>'Match data'!K31</f>
        <v>Germany</v>
      </c>
      <c r="K42" s="110" t="str">
        <f>'Match data'!C31</f>
        <v>C</v>
      </c>
      <c r="L42" s="93"/>
      <c r="M42" s="263"/>
      <c r="N42" s="93"/>
      <c r="O42" s="342" t="str">
        <f>GrpD!C14</f>
        <v>Turkey</v>
      </c>
      <c r="P42" s="343"/>
      <c r="Q42" s="116">
        <f>GrpD!D14</f>
        <v>0</v>
      </c>
      <c r="R42" s="116">
        <f>GrpD!E14</f>
        <v>0</v>
      </c>
      <c r="S42" s="116">
        <f>GrpD!F14</f>
        <v>0</v>
      </c>
      <c r="T42" s="116">
        <f>GrpD!G14</f>
        <v>0</v>
      </c>
      <c r="U42" s="117">
        <f>GrpD!H14</f>
        <v>0</v>
      </c>
      <c r="V42" s="37"/>
      <c r="W42" s="34"/>
    </row>
    <row r="43" spans="1:23" ht="15.75" thickBot="1">
      <c r="A43" s="93"/>
      <c r="B43" s="246" t="s">
        <v>517</v>
      </c>
      <c r="C43" s="242"/>
      <c r="D43" s="242">
        <f>'Match data'!E32+'Match data'!F32+VLOOKUP(IF(LEFT(Q3,3)="GMT",Q3,VLOOKUP(Q3,Time!A2:B50,2)),Time!B$51:D$77,3)-2</f>
        <v>42542.875</v>
      </c>
      <c r="E43" s="242"/>
      <c r="F43" s="109" t="str">
        <f>'Match data'!L32</f>
        <v>LENS AGGLO Stade Bollaert-Delelis</v>
      </c>
      <c r="G43" s="185" t="str">
        <f>'Match data'!H32</f>
        <v>Czech Rep</v>
      </c>
      <c r="H43" s="152"/>
      <c r="I43" s="152"/>
      <c r="J43" s="185" t="str">
        <f>'Match data'!K32</f>
        <v>Turkey</v>
      </c>
      <c r="K43" s="110" t="str">
        <f>'Match data'!C32</f>
        <v>D</v>
      </c>
      <c r="L43" s="93"/>
      <c r="M43" s="263"/>
      <c r="N43" s="93"/>
      <c r="O43" s="344" t="str">
        <f>GrpD!C15</f>
        <v>Croatia</v>
      </c>
      <c r="P43" s="345"/>
      <c r="Q43" s="156">
        <f>GrpD!D15</f>
        <v>0</v>
      </c>
      <c r="R43" s="156">
        <f>GrpD!E15</f>
        <v>0</v>
      </c>
      <c r="S43" s="156">
        <f>GrpD!F15</f>
        <v>0</v>
      </c>
      <c r="T43" s="156">
        <f>GrpD!G15</f>
        <v>0</v>
      </c>
      <c r="U43" s="157">
        <f>GrpD!H15</f>
        <v>0</v>
      </c>
      <c r="V43" s="37"/>
      <c r="W43" s="34"/>
    </row>
    <row r="44" spans="1:23" ht="15.75" thickBot="1">
      <c r="A44" s="93"/>
      <c r="B44" s="246" t="s">
        <v>518</v>
      </c>
      <c r="C44" s="242"/>
      <c r="D44" s="242">
        <f>'Match data'!E33+'Match data'!F33+VLOOKUP(IF(LEFT(Q3,3)="GMT",Q3,VLOOKUP(Q3,Time!A2:B50,2)),Time!B$51:D$77,3)-2</f>
        <v>42542.875</v>
      </c>
      <c r="E44" s="242"/>
      <c r="F44" s="109" t="str">
        <f>'Match data'!L33</f>
        <v>UX Stade de Bordeaux</v>
      </c>
      <c r="G44" s="185" t="str">
        <f>'Match data'!H33</f>
        <v>Croatia</v>
      </c>
      <c r="H44" s="153"/>
      <c r="I44" s="153"/>
      <c r="J44" s="185" t="str">
        <f>'Match data'!K33</f>
        <v>Spain</v>
      </c>
      <c r="K44" s="110" t="str">
        <f>'Match data'!C33</f>
        <v>D</v>
      </c>
      <c r="L44" s="93"/>
      <c r="M44" s="263"/>
      <c r="N44" s="93"/>
      <c r="O44" s="95"/>
      <c r="P44" s="163"/>
      <c r="Q44" s="95"/>
      <c r="R44" s="95"/>
      <c r="S44" s="95"/>
      <c r="T44" s="95"/>
      <c r="U44" s="95"/>
      <c r="V44" s="37"/>
      <c r="W44" s="34"/>
    </row>
    <row r="45" spans="1:23" ht="15.75" thickBot="1">
      <c r="A45" s="93"/>
      <c r="B45" s="246" t="s">
        <v>519</v>
      </c>
      <c r="C45" s="242"/>
      <c r="D45" s="242">
        <f>'Match data'!E34+'Match data'!F34+VLOOKUP(IF(LEFT(Q3,3)="GMT",Q3,VLOOKUP(Q3,Time!A2:B50,2)),Time!B$51:D$77,3)-2</f>
        <v>42543.75</v>
      </c>
      <c r="E45" s="242"/>
      <c r="F45" s="109" t="str">
        <f>'Match data'!L34</f>
        <v>SAINT-DENIS Stade de France</v>
      </c>
      <c r="G45" s="185" t="str">
        <f>'Match data'!H34</f>
        <v>Iceland</v>
      </c>
      <c r="H45" s="152"/>
      <c r="I45" s="152"/>
      <c r="J45" s="185" t="str">
        <f>'Match data'!K34</f>
        <v>Austria</v>
      </c>
      <c r="K45" s="110" t="str">
        <f>'Match data'!C34</f>
        <v>F</v>
      </c>
      <c r="L45" s="93"/>
      <c r="M45" s="263"/>
      <c r="N45" s="93"/>
      <c r="O45" s="346" t="s">
        <v>321</v>
      </c>
      <c r="P45" s="347"/>
      <c r="Q45" s="154" t="str">
        <f>Q39</f>
        <v>Pld</v>
      </c>
      <c r="R45" s="154" t="str">
        <f t="shared" ref="R45:T45" si="3">R39</f>
        <v>GF</v>
      </c>
      <c r="S45" s="154" t="str">
        <f t="shared" si="3"/>
        <v>GA</v>
      </c>
      <c r="T45" s="154" t="str">
        <f t="shared" si="3"/>
        <v>GD</v>
      </c>
      <c r="U45" s="155" t="str">
        <f>U39</f>
        <v>Pts</v>
      </c>
      <c r="V45" s="37"/>
      <c r="W45" s="34"/>
    </row>
    <row r="46" spans="1:23">
      <c r="A46" s="93"/>
      <c r="B46" s="246" t="s">
        <v>520</v>
      </c>
      <c r="C46" s="242"/>
      <c r="D46" s="242">
        <f>'Match data'!E35+'Match data'!F35+VLOOKUP(IF(LEFT(Q3,3)="GMT",Q3,VLOOKUP(Q3,Time!A2:B50,2)),Time!B$51:D$77,3)-2</f>
        <v>42543.75</v>
      </c>
      <c r="E46" s="242"/>
      <c r="F46" s="109" t="str">
        <f>'Match data'!L35</f>
        <v>LYON Stade de Lyon</v>
      </c>
      <c r="G46" s="185" t="str">
        <f>'Match data'!H35</f>
        <v>Hungary</v>
      </c>
      <c r="H46" s="153"/>
      <c r="I46" s="153"/>
      <c r="J46" s="185" t="str">
        <f>'Match data'!K35</f>
        <v>Portugal</v>
      </c>
      <c r="K46" s="110" t="str">
        <f>'Match data'!C35</f>
        <v>F</v>
      </c>
      <c r="L46" s="93"/>
      <c r="M46" s="263"/>
      <c r="N46" s="93"/>
      <c r="O46" s="348" t="str">
        <f>GrpE!C12</f>
        <v>Belgium</v>
      </c>
      <c r="P46" s="349"/>
      <c r="Q46" s="136">
        <f>GrpE!D12</f>
        <v>0</v>
      </c>
      <c r="R46" s="136">
        <f>GrpE!E12</f>
        <v>0</v>
      </c>
      <c r="S46" s="136">
        <f>GrpE!F12</f>
        <v>0</v>
      </c>
      <c r="T46" s="136">
        <f>GrpE!G12</f>
        <v>0</v>
      </c>
      <c r="U46" s="137">
        <f>GrpE!H12</f>
        <v>0</v>
      </c>
      <c r="V46" s="37"/>
      <c r="W46" s="34"/>
    </row>
    <row r="47" spans="1:23">
      <c r="A47" s="93"/>
      <c r="B47" s="246" t="s">
        <v>521</v>
      </c>
      <c r="C47" s="242"/>
      <c r="D47" s="242">
        <f>'Match data'!E36+'Match data'!F36+VLOOKUP(IF(LEFT(Q3,3)="GMT",Q3,VLOOKUP(Q3,Time!A2:B50,2)),Time!B$51:D$77,3)-2</f>
        <v>42543.875</v>
      </c>
      <c r="E47" s="242"/>
      <c r="F47" s="109" t="str">
        <f>'Match data'!L36</f>
        <v>LILLE MÉTROPOLE Stade Pierre Mauroy</v>
      </c>
      <c r="G47" s="185" t="str">
        <f>'Match data'!H36</f>
        <v>Italy</v>
      </c>
      <c r="H47" s="152"/>
      <c r="I47" s="152"/>
      <c r="J47" s="185" t="str">
        <f>'Match data'!K36</f>
        <v>Rep Ireland</v>
      </c>
      <c r="K47" s="110" t="str">
        <f>'Match data'!C36</f>
        <v>E</v>
      </c>
      <c r="L47" s="93"/>
      <c r="M47" s="263"/>
      <c r="N47" s="93"/>
      <c r="O47" s="330" t="str">
        <f>GrpE!C13</f>
        <v>Italy</v>
      </c>
      <c r="P47" s="331"/>
      <c r="Q47" s="166">
        <f>GrpE!D13</f>
        <v>0</v>
      </c>
      <c r="R47" s="166">
        <f>GrpE!E13</f>
        <v>0</v>
      </c>
      <c r="S47" s="166">
        <f>GrpE!F13</f>
        <v>0</v>
      </c>
      <c r="T47" s="166">
        <f>GrpE!G13</f>
        <v>0</v>
      </c>
      <c r="U47" s="167">
        <f>GrpE!H13</f>
        <v>0</v>
      </c>
      <c r="V47" s="37"/>
      <c r="W47" s="34"/>
    </row>
    <row r="48" spans="1:23" ht="15.75" thickBot="1">
      <c r="A48" s="93"/>
      <c r="B48" s="246" t="s">
        <v>522</v>
      </c>
      <c r="C48" s="242"/>
      <c r="D48" s="242">
        <f>'Match data'!E37+'Match data'!F37+VLOOKUP(IF(LEFT(Q3,3)="GMT",Q3,VLOOKUP(Q3,Time!A2:B50,2)),Time!B$51:D$77,3)-2</f>
        <v>42543.875</v>
      </c>
      <c r="E48" s="242"/>
      <c r="F48" s="109" t="str">
        <f>'Match data'!L37</f>
        <v>NICE Stade de Nice</v>
      </c>
      <c r="G48" s="185" t="str">
        <f>'Match data'!H37</f>
        <v>Sweden</v>
      </c>
      <c r="H48" s="153"/>
      <c r="I48" s="153"/>
      <c r="J48" s="185" t="str">
        <f>'Match data'!K37</f>
        <v>Belgium</v>
      </c>
      <c r="K48" s="110" t="str">
        <f>'Match data'!C37</f>
        <v>E</v>
      </c>
      <c r="L48" s="93"/>
      <c r="M48" s="264"/>
      <c r="N48" s="93"/>
      <c r="O48" s="332" t="str">
        <f>GrpE!C14</f>
        <v>Rep Ireland</v>
      </c>
      <c r="P48" s="333"/>
      <c r="Q48" s="148">
        <f>GrpE!D14</f>
        <v>0</v>
      </c>
      <c r="R48" s="148">
        <f>GrpE!E14</f>
        <v>0</v>
      </c>
      <c r="S48" s="148">
        <f>GrpE!F14</f>
        <v>0</v>
      </c>
      <c r="T48" s="148">
        <f>GrpE!G14</f>
        <v>0</v>
      </c>
      <c r="U48" s="149">
        <f>GrpE!H14</f>
        <v>0</v>
      </c>
      <c r="V48" s="37"/>
      <c r="W48" s="34"/>
    </row>
    <row r="49" spans="1:23" ht="15.75" thickBot="1">
      <c r="A49" s="93"/>
      <c r="B49" s="244"/>
      <c r="C49" s="245"/>
      <c r="D49" s="245"/>
      <c r="E49" s="245"/>
      <c r="F49" s="197"/>
      <c r="G49" s="198"/>
      <c r="H49" s="199"/>
      <c r="I49" s="199"/>
      <c r="J49" s="198"/>
      <c r="K49" s="200"/>
      <c r="L49" s="93"/>
      <c r="M49" s="158"/>
      <c r="N49" s="93"/>
      <c r="O49" s="334" t="str">
        <f>GrpE!C15</f>
        <v>Sweden</v>
      </c>
      <c r="P49" s="335"/>
      <c r="Q49" s="138">
        <f>GrpE!D15</f>
        <v>0</v>
      </c>
      <c r="R49" s="138">
        <f>GrpE!E15</f>
        <v>0</v>
      </c>
      <c r="S49" s="138">
        <f>GrpE!F15</f>
        <v>0</v>
      </c>
      <c r="T49" s="138">
        <f>GrpE!G15</f>
        <v>0</v>
      </c>
      <c r="U49" s="139">
        <f>GrpE!H15</f>
        <v>0</v>
      </c>
      <c r="V49" s="57"/>
      <c r="W49" s="34"/>
    </row>
    <row r="50" spans="1:23" ht="15.75" thickBot="1">
      <c r="A50" s="93"/>
      <c r="B50" s="276" t="s">
        <v>109</v>
      </c>
      <c r="C50" s="277"/>
      <c r="D50" s="277"/>
      <c r="E50" s="277"/>
      <c r="F50" s="47"/>
      <c r="G50" s="47"/>
      <c r="H50" s="247"/>
      <c r="I50" s="247"/>
      <c r="J50" s="47"/>
      <c r="K50" s="247" t="s">
        <v>246</v>
      </c>
      <c r="L50" s="247"/>
      <c r="M50" s="248"/>
      <c r="N50" s="93"/>
      <c r="O50" s="95"/>
      <c r="P50" s="163"/>
      <c r="Q50" s="95"/>
      <c r="R50" s="95"/>
      <c r="S50" s="95"/>
      <c r="T50" s="95"/>
      <c r="U50" s="95"/>
      <c r="V50" s="57"/>
      <c r="W50" s="34"/>
    </row>
    <row r="51" spans="1:23" ht="15.75" thickBot="1">
      <c r="A51" s="93"/>
      <c r="B51" s="278" t="s">
        <v>483</v>
      </c>
      <c r="C51" s="269"/>
      <c r="D51" s="269">
        <f>'Match data'!E38+'Match data'!F38+VLOOKUP(IF(LEFT(Q3,3)="GMT",Q3,VLOOKUP(Q3,Time!A2:B50,2)),Time!B$51:D$77,3)-2</f>
        <v>42546.625</v>
      </c>
      <c r="E51" s="269"/>
      <c r="F51" s="109" t="str">
        <f>'Match data'!L38</f>
        <v>SAINT-ÉTIENNE Stade Geoffroy Guichard</v>
      </c>
      <c r="G51" s="189" t="str">
        <f>'Match data'!H38</f>
        <v>Runner-up Group A</v>
      </c>
      <c r="H51" s="153"/>
      <c r="I51" s="153"/>
      <c r="J51" s="189" t="str">
        <f>'Match data'!K38</f>
        <v>Runner-up Group C</v>
      </c>
      <c r="K51" s="194"/>
      <c r="L51" s="255"/>
      <c r="M51" s="256"/>
      <c r="N51" s="93"/>
      <c r="O51" s="336" t="s">
        <v>322</v>
      </c>
      <c r="P51" s="337"/>
      <c r="Q51" s="140" t="str">
        <f>Q45</f>
        <v>Pld</v>
      </c>
      <c r="R51" s="140" t="str">
        <f t="shared" ref="R51:T51" si="4">R45</f>
        <v>GF</v>
      </c>
      <c r="S51" s="140" t="str">
        <f t="shared" si="4"/>
        <v>GA</v>
      </c>
      <c r="T51" s="140" t="str">
        <f t="shared" si="4"/>
        <v>GD</v>
      </c>
      <c r="U51" s="141" t="str">
        <f>U45</f>
        <v>Pts</v>
      </c>
      <c r="V51" s="57"/>
      <c r="W51" s="34"/>
    </row>
    <row r="52" spans="1:23">
      <c r="A52" s="93"/>
      <c r="B52" s="246" t="s">
        <v>484</v>
      </c>
      <c r="C52" s="242"/>
      <c r="D52" s="242">
        <f>'Match data'!E39+'Match data'!F39+VLOOKUP(IF(LEFT(Q3,3)="GMT",Q3,VLOOKUP(Q3,Time!A2:B50,2)),Time!B$51:D$77,3)-2</f>
        <v>42546.75</v>
      </c>
      <c r="E52" s="242"/>
      <c r="F52" s="109" t="str">
        <f>'Match data'!L39</f>
        <v>PARIS Parc des Princes</v>
      </c>
      <c r="G52" s="189" t="str">
        <f>'Match data'!H39</f>
        <v>Winner Group B</v>
      </c>
      <c r="H52" s="153"/>
      <c r="I52" s="153"/>
      <c r="J52" s="189" t="str">
        <f>'Match data'!K39</f>
        <v>3rd Place A, C or D</v>
      </c>
      <c r="K52" s="153"/>
      <c r="L52" s="251"/>
      <c r="M52" s="252"/>
      <c r="N52" s="93"/>
      <c r="O52" s="338" t="str">
        <f>GrpF!C12</f>
        <v>Portugal</v>
      </c>
      <c r="P52" s="339"/>
      <c r="Q52" s="142">
        <f>GrpF!D12</f>
        <v>0</v>
      </c>
      <c r="R52" s="142">
        <f>GrpF!E12</f>
        <v>0</v>
      </c>
      <c r="S52" s="142">
        <f>GrpF!F12</f>
        <v>0</v>
      </c>
      <c r="T52" s="142">
        <f>GrpF!G12</f>
        <v>0</v>
      </c>
      <c r="U52" s="143">
        <f>GrpF!H12</f>
        <v>0</v>
      </c>
      <c r="V52" s="44"/>
      <c r="W52" s="34"/>
    </row>
    <row r="53" spans="1:23">
      <c r="A53" s="93"/>
      <c r="B53" s="246" t="s">
        <v>485</v>
      </c>
      <c r="C53" s="242"/>
      <c r="D53" s="242">
        <f>'Match data'!E40+'Match data'!F40+VLOOKUP(IF(LEFT(Q3,3)="GMT",Q3,VLOOKUP(Q3,Time!A2:B50,2)),Time!B$51:D$77,3)-2</f>
        <v>42546.875</v>
      </c>
      <c r="E53" s="242"/>
      <c r="F53" s="109" t="str">
        <f>'Match data'!L40</f>
        <v>LENS AGGLO Stade Bollaert-Delelis</v>
      </c>
      <c r="G53" s="189" t="str">
        <f>'Match data'!H40</f>
        <v>Winner Group D</v>
      </c>
      <c r="H53" s="152"/>
      <c r="I53" s="152"/>
      <c r="J53" s="189" t="str">
        <f>'Match data'!K40</f>
        <v>3rd Place B, E or F</v>
      </c>
      <c r="K53" s="152"/>
      <c r="L53" s="249"/>
      <c r="M53" s="250"/>
      <c r="N53" s="93"/>
      <c r="O53" s="352" t="str">
        <f>GrpF!C13</f>
        <v>Iceland</v>
      </c>
      <c r="P53" s="353"/>
      <c r="Q53" s="164">
        <f>GrpF!D13</f>
        <v>0</v>
      </c>
      <c r="R53" s="164">
        <f>GrpF!E13</f>
        <v>0</v>
      </c>
      <c r="S53" s="164">
        <f>GrpF!F13</f>
        <v>0</v>
      </c>
      <c r="T53" s="164">
        <f>GrpF!G13</f>
        <v>0</v>
      </c>
      <c r="U53" s="165">
        <f>GrpF!H13</f>
        <v>0</v>
      </c>
      <c r="V53" s="56"/>
      <c r="W53" s="34"/>
    </row>
    <row r="54" spans="1:23">
      <c r="A54" s="93"/>
      <c r="B54" s="246" t="s">
        <v>486</v>
      </c>
      <c r="C54" s="242"/>
      <c r="D54" s="242">
        <f>'Match data'!E41+'Match data'!F41+VLOOKUP(IF(LEFT(Q3,3)="GMT",Q3,VLOOKUP(Q3,Time!A2:B50,2)),Time!B$51:D$77,3)-2</f>
        <v>42547.625</v>
      </c>
      <c r="E54" s="242"/>
      <c r="F54" s="109" t="str">
        <f>'Match data'!L41</f>
        <v>LYON Stade de Lyon</v>
      </c>
      <c r="G54" s="189" t="str">
        <f>'Match data'!H41</f>
        <v>Winner Group A</v>
      </c>
      <c r="H54" s="153"/>
      <c r="I54" s="153"/>
      <c r="J54" s="189" t="str">
        <f>'Match data'!K41</f>
        <v>3rd Place C, D or E</v>
      </c>
      <c r="K54" s="153"/>
      <c r="L54" s="251"/>
      <c r="M54" s="252"/>
      <c r="N54" s="93"/>
      <c r="O54" s="354" t="str">
        <f>GrpF!C14</f>
        <v>Austria</v>
      </c>
      <c r="P54" s="355"/>
      <c r="Q54" s="144">
        <f>GrpF!D14</f>
        <v>0</v>
      </c>
      <c r="R54" s="144">
        <f>GrpF!E14</f>
        <v>0</v>
      </c>
      <c r="S54" s="144">
        <f>GrpF!F14</f>
        <v>0</v>
      </c>
      <c r="T54" s="144">
        <f>GrpF!G14</f>
        <v>0</v>
      </c>
      <c r="U54" s="145">
        <f>GrpF!H14</f>
        <v>0</v>
      </c>
      <c r="V54" s="57"/>
      <c r="W54" s="34"/>
    </row>
    <row r="55" spans="1:23" ht="15.75" thickBot="1">
      <c r="A55" s="93"/>
      <c r="B55" s="246" t="s">
        <v>487</v>
      </c>
      <c r="C55" s="242"/>
      <c r="D55" s="242">
        <f>'Match data'!E42+'Match data'!F42+VLOOKUP(IF(LEFT(Q3,3)="GMT",Q3,VLOOKUP(Q3,Time!A2:B50,2)),Time!B$51:D$77,3)-2</f>
        <v>42547.75</v>
      </c>
      <c r="E55" s="242"/>
      <c r="F55" s="109" t="str">
        <f>'Match data'!L42</f>
        <v>LILLE MÉTROPOLE Stade Pierre Mauroy</v>
      </c>
      <c r="G55" s="189" t="str">
        <f>'Match data'!H42</f>
        <v>Winner Group C</v>
      </c>
      <c r="H55" s="152"/>
      <c r="I55" s="152"/>
      <c r="J55" s="189" t="str">
        <f>'Match data'!K42</f>
        <v>3rd Place A, B or F</v>
      </c>
      <c r="K55" s="152"/>
      <c r="L55" s="249"/>
      <c r="M55" s="250"/>
      <c r="N55" s="93"/>
      <c r="O55" s="356" t="str">
        <f>GrpF!C15</f>
        <v>Hungary</v>
      </c>
      <c r="P55" s="357"/>
      <c r="Q55" s="146">
        <f>GrpF!D15</f>
        <v>0</v>
      </c>
      <c r="R55" s="146">
        <f>GrpF!E15</f>
        <v>0</v>
      </c>
      <c r="S55" s="146">
        <f>GrpF!F15</f>
        <v>0</v>
      </c>
      <c r="T55" s="146">
        <f>GrpF!G15</f>
        <v>0</v>
      </c>
      <c r="U55" s="147">
        <f>GrpF!H15</f>
        <v>0</v>
      </c>
      <c r="V55" s="57"/>
      <c r="W55" s="34"/>
    </row>
    <row r="56" spans="1:23" ht="15.75" thickBot="1">
      <c r="A56" s="93"/>
      <c r="B56" s="246" t="s">
        <v>488</v>
      </c>
      <c r="C56" s="242"/>
      <c r="D56" s="242">
        <f>'Match data'!E43+'Match data'!F43+VLOOKUP(IF(LEFT(Q3,3)="GMT",Q3,VLOOKUP(Q3,Time!A2:B50,2)),Time!B$51:D$77,3)-2</f>
        <v>42547.875</v>
      </c>
      <c r="E56" s="242"/>
      <c r="F56" s="109" t="str">
        <f>'Match data'!L43</f>
        <v>TOULOUSE Stadium de Toulouse</v>
      </c>
      <c r="G56" s="189" t="str">
        <f>'Match data'!H43</f>
        <v>Winner Group F</v>
      </c>
      <c r="H56" s="153"/>
      <c r="I56" s="153"/>
      <c r="J56" s="189" t="str">
        <f>'Match data'!K43</f>
        <v>Runner-up Group E</v>
      </c>
      <c r="K56" s="153"/>
      <c r="L56" s="251"/>
      <c r="M56" s="252"/>
      <c r="N56" s="93"/>
      <c r="O56" s="96"/>
      <c r="P56" s="96"/>
      <c r="Q56" s="96"/>
      <c r="R56" s="96"/>
      <c r="S56" s="96"/>
      <c r="T56" s="96"/>
      <c r="U56" s="96"/>
      <c r="V56" s="57"/>
      <c r="W56" s="34"/>
    </row>
    <row r="57" spans="1:23" ht="15.75" thickBot="1">
      <c r="A57" s="93"/>
      <c r="B57" s="246" t="s">
        <v>489</v>
      </c>
      <c r="C57" s="242"/>
      <c r="D57" s="242">
        <f>'Match data'!E44+'Match data'!F44+VLOOKUP(IF(LEFT(Q3,3)="GMT",Q3,VLOOKUP(Q3,Time!A2:B50,2)),Time!B$51:D$77,3)-2</f>
        <v>42548.75</v>
      </c>
      <c r="E57" s="242"/>
      <c r="F57" s="109" t="str">
        <f>'Match data'!L44</f>
        <v>SAINT-DENIS Stade de France</v>
      </c>
      <c r="G57" s="189" t="str">
        <f>'Match data'!H44</f>
        <v>Winner Group E</v>
      </c>
      <c r="H57" s="152"/>
      <c r="I57" s="152"/>
      <c r="J57" s="189" t="str">
        <f>'Match data'!K44</f>
        <v>Runner-up Group D</v>
      </c>
      <c r="K57" s="152"/>
      <c r="L57" s="249"/>
      <c r="M57" s="250"/>
      <c r="N57" s="93"/>
      <c r="O57" s="276" t="s">
        <v>614</v>
      </c>
      <c r="P57" s="277"/>
      <c r="Q57" s="88" t="str">
        <f>Q51</f>
        <v>Pld</v>
      </c>
      <c r="R57" s="88" t="str">
        <f t="shared" ref="R57:T57" si="5">R51</f>
        <v>GF</v>
      </c>
      <c r="S57" s="88" t="str">
        <f t="shared" si="5"/>
        <v>GA</v>
      </c>
      <c r="T57" s="88" t="str">
        <f t="shared" si="5"/>
        <v>GD</v>
      </c>
      <c r="U57" s="89" t="str">
        <f>U51</f>
        <v>Pts</v>
      </c>
      <c r="V57" s="57"/>
      <c r="W57" s="34"/>
    </row>
    <row r="58" spans="1:23">
      <c r="A58" s="93"/>
      <c r="B58" s="246" t="s">
        <v>490</v>
      </c>
      <c r="C58" s="242"/>
      <c r="D58" s="242">
        <f>'Match data'!E45+'Match data'!F45+VLOOKUP(IF(LEFT(Q3,3)="GMT",Q3,VLOOKUP(Q3,Time!A2:B50,2)),Time!B$51:D$77,3)-2</f>
        <v>42548.875</v>
      </c>
      <c r="E58" s="242"/>
      <c r="F58" s="109" t="str">
        <f>'Match data'!L45</f>
        <v>NICE Stade de Nice</v>
      </c>
      <c r="G58" s="189" t="str">
        <f>'Match data'!H45</f>
        <v>Runner-up Group B</v>
      </c>
      <c r="H58" s="153"/>
      <c r="I58" s="153"/>
      <c r="J58" s="189" t="str">
        <f>'Match data'!K45</f>
        <v>Runner-up Group F</v>
      </c>
      <c r="K58" s="153"/>
      <c r="L58" s="251"/>
      <c r="M58" s="252"/>
      <c r="N58" s="93"/>
      <c r="O58" s="358" t="str">
        <f>'3rd place'!C11</f>
        <v>Albania</v>
      </c>
      <c r="P58" s="359"/>
      <c r="Q58" s="114">
        <f>'3rd place'!D11</f>
        <v>0</v>
      </c>
      <c r="R58" s="114">
        <f>'3rd place'!E11</f>
        <v>0</v>
      </c>
      <c r="S58" s="114">
        <f>'3rd place'!F11</f>
        <v>0</v>
      </c>
      <c r="T58" s="114">
        <f>'3rd place'!G11</f>
        <v>0</v>
      </c>
      <c r="U58" s="115">
        <f>'3rd place'!H11</f>
        <v>0</v>
      </c>
      <c r="V58" s="44" t="str">
        <f>IF(COUNTIF(V54:V57,#REF!)&gt;1,"Warning! Duplicate FIFA Lot entry above.",IF(COUNTIF(V54:V57,#REF!)&gt;1,"Warning! Duplicate FIFA Lot entry above.",IF(COUNTIF(V54:V57,#REF!)&gt;1,"Warning! Duplicate FIFA Lot entry above.",IF(COUNTIF(V54:V57,#REF!)&gt;1,"Warning! Duplicate FIFA Lot entry above.",""))))</f>
        <v/>
      </c>
      <c r="W58" s="34"/>
    </row>
    <row r="59" spans="1:23" ht="15.75" thickBot="1">
      <c r="A59" s="93"/>
      <c r="B59" s="246"/>
      <c r="C59" s="242"/>
      <c r="D59" s="242"/>
      <c r="E59" s="242"/>
      <c r="F59" s="188"/>
      <c r="G59" s="99"/>
      <c r="H59" s="99"/>
      <c r="I59" s="99"/>
      <c r="J59" s="99"/>
      <c r="K59" s="99"/>
      <c r="L59" s="93"/>
      <c r="M59" s="97"/>
      <c r="N59" s="93"/>
      <c r="O59" s="270" t="str">
        <f>'3rd place'!C12</f>
        <v>Austria</v>
      </c>
      <c r="P59" s="271"/>
      <c r="Q59" s="114">
        <f>'3rd place'!D12</f>
        <v>0</v>
      </c>
      <c r="R59" s="114">
        <f>'3rd place'!E12</f>
        <v>0</v>
      </c>
      <c r="S59" s="114">
        <f>'3rd place'!F12</f>
        <v>0</v>
      </c>
      <c r="T59" s="114">
        <f>'3rd place'!G12</f>
        <v>0</v>
      </c>
      <c r="U59" s="115">
        <f>'3rd place'!H12</f>
        <v>0</v>
      </c>
      <c r="V59" s="34"/>
      <c r="W59" s="34"/>
    </row>
    <row r="60" spans="1:23" ht="15.75" thickBot="1">
      <c r="A60" s="93"/>
      <c r="B60" s="276" t="s">
        <v>250</v>
      </c>
      <c r="C60" s="277"/>
      <c r="D60" s="277"/>
      <c r="E60" s="277"/>
      <c r="F60" s="47"/>
      <c r="G60" s="47"/>
      <c r="H60" s="247"/>
      <c r="I60" s="247"/>
      <c r="J60" s="47"/>
      <c r="K60" s="247"/>
      <c r="L60" s="247"/>
      <c r="M60" s="248"/>
      <c r="N60" s="93"/>
      <c r="O60" s="270" t="str">
        <f>'3rd place'!C13</f>
        <v>Poland</v>
      </c>
      <c r="P60" s="271"/>
      <c r="Q60" s="114">
        <f>'3rd place'!D13</f>
        <v>0</v>
      </c>
      <c r="R60" s="114">
        <f>'3rd place'!E13</f>
        <v>0</v>
      </c>
      <c r="S60" s="114">
        <f>'3rd place'!F13</f>
        <v>0</v>
      </c>
      <c r="T60" s="114">
        <f>'3rd place'!G13</f>
        <v>0</v>
      </c>
      <c r="U60" s="115">
        <f>'3rd place'!H13</f>
        <v>0</v>
      </c>
      <c r="V60" s="60"/>
      <c r="W60" s="34"/>
    </row>
    <row r="61" spans="1:23">
      <c r="A61" s="93"/>
      <c r="B61" s="278" t="s">
        <v>491</v>
      </c>
      <c r="C61" s="269"/>
      <c r="D61" s="269">
        <f>'Match data'!E46+'Match data'!F46+VLOOKUP(IF(LEFT(Q3,3)="GMT",Q3,VLOOKUP(Q3,Time!A2:B50,2)),Time!B$51:D$77,3)-2</f>
        <v>42551.875</v>
      </c>
      <c r="E61" s="269"/>
      <c r="F61" s="109" t="str">
        <f>'Match data'!L46</f>
        <v>MARSEILLE Stade Vélodrome</v>
      </c>
      <c r="G61" s="189" t="str">
        <f>'Match data'!H46</f>
        <v>Winner Match 37</v>
      </c>
      <c r="H61" s="194"/>
      <c r="I61" s="194"/>
      <c r="J61" s="189" t="str">
        <f>'Match data'!K46</f>
        <v>Winner Match 39</v>
      </c>
      <c r="K61" s="194"/>
      <c r="L61" s="255"/>
      <c r="M61" s="256"/>
      <c r="N61" s="93"/>
      <c r="O61" s="270" t="str">
        <f>'3rd place'!C14</f>
        <v>Rep Ireland</v>
      </c>
      <c r="P61" s="271"/>
      <c r="Q61" s="114">
        <f>'3rd place'!D14</f>
        <v>0</v>
      </c>
      <c r="R61" s="114">
        <f>'3rd place'!E14</f>
        <v>0</v>
      </c>
      <c r="S61" s="114">
        <f>'3rd place'!F14</f>
        <v>0</v>
      </c>
      <c r="T61" s="114">
        <f>'3rd place'!G14</f>
        <v>0</v>
      </c>
      <c r="U61" s="115">
        <f>'3rd place'!H14</f>
        <v>0</v>
      </c>
      <c r="V61" s="34"/>
      <c r="W61" s="34"/>
    </row>
    <row r="62" spans="1:23">
      <c r="A62" s="93"/>
      <c r="B62" s="246" t="s">
        <v>492</v>
      </c>
      <c r="C62" s="242"/>
      <c r="D62" s="242">
        <f>'Match data'!E47+'Match data'!F47+VLOOKUP(IF(LEFT(Q3,3)="GMT",Q3,VLOOKUP(Q3,Time!A2:B50,2)),Time!B$51:D$77,3)-2</f>
        <v>42552.875</v>
      </c>
      <c r="E62" s="242"/>
      <c r="F62" s="109" t="str">
        <f>'Match data'!L47</f>
        <v>LILLE MÉTROPOLE Stade Pierre Mauroy</v>
      </c>
      <c r="G62" s="189" t="str">
        <f>'Match data'!H47</f>
        <v>Winner Match 38</v>
      </c>
      <c r="H62" s="153"/>
      <c r="I62" s="153"/>
      <c r="J62" s="189" t="str">
        <f>'Match data'!K47</f>
        <v>Winner Match 42</v>
      </c>
      <c r="K62" s="153"/>
      <c r="L62" s="251"/>
      <c r="M62" s="252"/>
      <c r="N62" s="93"/>
      <c r="O62" s="272" t="str">
        <f>'3rd place'!C15</f>
        <v>Turkey</v>
      </c>
      <c r="P62" s="273"/>
      <c r="Q62" s="112">
        <f>'3rd place'!D15</f>
        <v>0</v>
      </c>
      <c r="R62" s="112">
        <f>'3rd place'!E15</f>
        <v>0</v>
      </c>
      <c r="S62" s="112">
        <f>'3rd place'!F15</f>
        <v>0</v>
      </c>
      <c r="T62" s="112">
        <f>'3rd place'!G15</f>
        <v>0</v>
      </c>
      <c r="U62" s="113">
        <f>'3rd place'!H15</f>
        <v>0</v>
      </c>
      <c r="V62" s="34"/>
      <c r="W62" s="34"/>
    </row>
    <row r="63" spans="1:23" ht="15.75" thickBot="1">
      <c r="A63" s="93"/>
      <c r="B63" s="246" t="s">
        <v>493</v>
      </c>
      <c r="C63" s="242"/>
      <c r="D63" s="242">
        <f>'Match data'!E48+'Match data'!F48+VLOOKUP(IF(LEFT(Q3,3)="GMT",Q3,VLOOKUP(Q3,Time!A2:B50,2)),Time!B$51:D$77,3)-2</f>
        <v>42553.875</v>
      </c>
      <c r="E63" s="242"/>
      <c r="F63" s="109" t="str">
        <f>'Match data'!L48</f>
        <v>UX Stade de Bordeaux</v>
      </c>
      <c r="G63" s="189" t="str">
        <f>'Match data'!H48</f>
        <v>Winner Match 41</v>
      </c>
      <c r="H63" s="152"/>
      <c r="I63" s="152"/>
      <c r="J63" s="189" t="str">
        <f>'Match data'!K48</f>
        <v>Winner Match 43</v>
      </c>
      <c r="K63" s="152"/>
      <c r="L63" s="249"/>
      <c r="M63" s="250"/>
      <c r="N63" s="93"/>
      <c r="O63" s="360" t="str">
        <f>'3rd place'!C16</f>
        <v>Wales</v>
      </c>
      <c r="P63" s="361"/>
      <c r="Q63" s="150">
        <f>'3rd place'!D16</f>
        <v>0</v>
      </c>
      <c r="R63" s="150">
        <f>'3rd place'!E16</f>
        <v>0</v>
      </c>
      <c r="S63" s="150">
        <f>'3rd place'!F16</f>
        <v>0</v>
      </c>
      <c r="T63" s="150">
        <f>'3rd place'!G16</f>
        <v>0</v>
      </c>
      <c r="U63" s="151">
        <f>'3rd place'!H16</f>
        <v>0</v>
      </c>
      <c r="V63" s="34"/>
      <c r="W63" s="34"/>
    </row>
    <row r="64" spans="1:23" ht="15.75" thickBot="1">
      <c r="A64" s="93"/>
      <c r="B64" s="246" t="s">
        <v>494</v>
      </c>
      <c r="C64" s="242"/>
      <c r="D64" s="242">
        <f>'Match data'!E49+'Match data'!F49+VLOOKUP(IF(LEFT(Q3,3)="GMT",Q3,VLOOKUP(Q3,Time!A2:B50,2)),Time!B$51:D$77,3)-2</f>
        <v>42554.875</v>
      </c>
      <c r="E64" s="242"/>
      <c r="F64" s="109" t="str">
        <f>'Match data'!L49</f>
        <v>SAINT-DENIS Stade de France</v>
      </c>
      <c r="G64" s="189" t="str">
        <f>'Match data'!H49</f>
        <v>Winner Match 40</v>
      </c>
      <c r="H64" s="153"/>
      <c r="I64" s="153"/>
      <c r="J64" s="189" t="str">
        <f>'Match data'!K49</f>
        <v>Winner Match 44</v>
      </c>
      <c r="K64" s="153"/>
      <c r="L64" s="251"/>
      <c r="M64" s="252"/>
      <c r="N64" s="93"/>
      <c r="O64" s="58"/>
      <c r="P64" s="58"/>
      <c r="Q64" s="59"/>
      <c r="R64" s="59"/>
      <c r="S64" s="59"/>
      <c r="T64" s="59"/>
      <c r="U64" s="59"/>
      <c r="V64" s="34"/>
      <c r="W64" s="34"/>
    </row>
    <row r="65" spans="1:25" ht="18.600000000000001" customHeight="1" thickBot="1">
      <c r="A65" s="93"/>
      <c r="B65" s="186"/>
      <c r="C65" s="99"/>
      <c r="D65" s="99"/>
      <c r="E65" s="187"/>
      <c r="F65" s="188"/>
      <c r="G65" s="99"/>
      <c r="H65" s="99"/>
      <c r="I65" s="99"/>
      <c r="J65" s="99"/>
      <c r="K65" s="99"/>
      <c r="L65" s="93"/>
      <c r="M65" s="97"/>
      <c r="N65" s="93"/>
      <c r="O65" s="229" t="s">
        <v>631</v>
      </c>
      <c r="P65" s="230"/>
      <c r="Q65" s="230"/>
      <c r="R65" s="230"/>
      <c r="S65" s="230"/>
      <c r="T65" s="230"/>
      <c r="U65" s="231"/>
      <c r="V65" s="34"/>
      <c r="W65" s="32"/>
    </row>
    <row r="66" spans="1:25" ht="15" customHeight="1" thickBot="1">
      <c r="A66" s="93"/>
      <c r="B66" s="276" t="s">
        <v>249</v>
      </c>
      <c r="C66" s="277"/>
      <c r="D66" s="277"/>
      <c r="E66" s="277"/>
      <c r="F66" s="47"/>
      <c r="G66" s="47"/>
      <c r="H66" s="247"/>
      <c r="I66" s="247"/>
      <c r="J66" s="47"/>
      <c r="K66" s="247"/>
      <c r="L66" s="247"/>
      <c r="M66" s="248"/>
      <c r="N66" s="93"/>
      <c r="O66" s="232"/>
      <c r="P66" s="233"/>
      <c r="Q66" s="233"/>
      <c r="R66" s="233"/>
      <c r="S66" s="233"/>
      <c r="T66" s="233"/>
      <c r="U66" s="234"/>
      <c r="V66" s="34"/>
      <c r="W66" s="32"/>
    </row>
    <row r="67" spans="1:25" ht="14.45" customHeight="1">
      <c r="A67" s="93"/>
      <c r="B67" s="278" t="s">
        <v>111</v>
      </c>
      <c r="C67" s="269"/>
      <c r="D67" s="269">
        <f>'Match data'!E50+'Match data'!F50+VLOOKUP(IF(LEFT(Q3,3)="GMT",Q3,VLOOKUP(Q3,Time!A2:B50,2)),Time!B$51:D$77,3)-2</f>
        <v>42557.875</v>
      </c>
      <c r="E67" s="269"/>
      <c r="F67" s="109" t="str">
        <f>'Match data'!L50</f>
        <v>LYON Stade de Lyon</v>
      </c>
      <c r="G67" s="189" t="str">
        <f>'Match data'!H50</f>
        <v>Winner Match 45</v>
      </c>
      <c r="H67" s="194"/>
      <c r="I67" s="194"/>
      <c r="J67" s="189" t="str">
        <f>'Match data'!K50</f>
        <v>Winner Match 46</v>
      </c>
      <c r="K67" s="194"/>
      <c r="L67" s="255"/>
      <c r="M67" s="256"/>
      <c r="N67" s="93"/>
      <c r="O67" s="232"/>
      <c r="P67" s="233"/>
      <c r="Q67" s="233"/>
      <c r="R67" s="233"/>
      <c r="S67" s="233"/>
      <c r="T67" s="233"/>
      <c r="U67" s="234"/>
      <c r="V67" s="34"/>
      <c r="W67" s="32"/>
      <c r="X67" s="38"/>
      <c r="Y67" s="38"/>
    </row>
    <row r="68" spans="1:25" s="38" customFormat="1" ht="14.45" customHeight="1">
      <c r="A68" s="93"/>
      <c r="B68" s="246" t="s">
        <v>114</v>
      </c>
      <c r="C68" s="242"/>
      <c r="D68" s="242">
        <f>'Match data'!E51+'Match data'!F51+VLOOKUP(IF(LEFT(Q3,3)="GMT",Q3,VLOOKUP(Q3,Time!A2:B50,2)),Time!B$51:D$77,3)-2</f>
        <v>42558.875</v>
      </c>
      <c r="E68" s="242"/>
      <c r="F68" s="109" t="str">
        <f>'Match data'!L51</f>
        <v>MARSEILLE Stade Vélodrome</v>
      </c>
      <c r="G68" s="189" t="str">
        <f>'Match data'!H51</f>
        <v>Winner Match 47</v>
      </c>
      <c r="H68" s="153"/>
      <c r="I68" s="153"/>
      <c r="J68" s="189" t="str">
        <f>'Match data'!K51</f>
        <v>Winner Match 48</v>
      </c>
      <c r="K68" s="153"/>
      <c r="L68" s="251"/>
      <c r="M68" s="252"/>
      <c r="N68" s="98"/>
      <c r="O68" s="232"/>
      <c r="P68" s="233"/>
      <c r="Q68" s="233"/>
      <c r="R68" s="233"/>
      <c r="S68" s="233"/>
      <c r="T68" s="233"/>
      <c r="U68" s="234"/>
      <c r="V68" s="34"/>
      <c r="W68" s="32"/>
    </row>
    <row r="69" spans="1:25" s="38" customFormat="1" ht="15" customHeight="1" thickBot="1">
      <c r="A69" s="93"/>
      <c r="B69" s="186"/>
      <c r="C69" s="99"/>
      <c r="D69" s="99"/>
      <c r="E69" s="187"/>
      <c r="F69" s="188"/>
      <c r="G69" s="99"/>
      <c r="H69" s="99"/>
      <c r="I69" s="99"/>
      <c r="J69" s="99"/>
      <c r="K69" s="99"/>
      <c r="L69" s="93"/>
      <c r="M69" s="97"/>
      <c r="N69" s="98"/>
      <c r="O69" s="232"/>
      <c r="P69" s="233"/>
      <c r="Q69" s="233"/>
      <c r="R69" s="233"/>
      <c r="S69" s="233"/>
      <c r="T69" s="233"/>
      <c r="U69" s="234"/>
      <c r="V69" s="34"/>
    </row>
    <row r="70" spans="1:25" s="38" customFormat="1" ht="15" hidden="1" customHeight="1" thickBot="1">
      <c r="A70" s="93"/>
      <c r="B70" s="46" t="s">
        <v>248</v>
      </c>
      <c r="C70" s="47"/>
      <c r="D70" s="47"/>
      <c r="E70" s="52"/>
      <c r="F70" s="53"/>
      <c r="G70" s="53"/>
      <c r="H70" s="53"/>
      <c r="I70" s="53"/>
      <c r="J70" s="53"/>
      <c r="K70" s="257"/>
      <c r="L70" s="257"/>
      <c r="M70" s="258"/>
      <c r="N70" s="98"/>
      <c r="O70" s="232"/>
      <c r="P70" s="233"/>
      <c r="Q70" s="233"/>
      <c r="R70" s="233"/>
      <c r="S70" s="233"/>
      <c r="T70" s="233"/>
      <c r="U70" s="234"/>
      <c r="V70" s="34"/>
    </row>
    <row r="71" spans="1:25" s="38" customFormat="1" ht="15" hidden="1" customHeight="1" thickBot="1">
      <c r="A71" s="93"/>
      <c r="B71" s="39" t="str">
        <f>'Match data'!I52</f>
        <v>Match 63</v>
      </c>
      <c r="C71" s="41"/>
      <c r="D71" s="41"/>
      <c r="E71" s="40">
        <f>'Match data'!E52+'Match data'!F52+VLOOKUP(IF(LEFT(Q3,3)="GMT",Q3,VLOOKUP(Q3,Time!A2:B50,2)),Time!B$51:D$77,3)-2</f>
        <v>41832.875</v>
      </c>
      <c r="F71" s="20" t="str">
        <f>'Match data'!L52</f>
        <v>Estádio Nacional, Brasília</v>
      </c>
      <c r="G71" s="41" t="str">
        <f>'Match data'!H52</f>
        <v>Loser Match 51</v>
      </c>
      <c r="H71" s="42">
        <v>1</v>
      </c>
      <c r="I71" s="42">
        <v>1</v>
      </c>
      <c r="J71" s="41" t="str">
        <f>'Match data'!K52</f>
        <v>Loser Match 51</v>
      </c>
      <c r="K71" s="43">
        <v>0</v>
      </c>
      <c r="L71" s="259">
        <v>1</v>
      </c>
      <c r="M71" s="260"/>
      <c r="N71" s="98"/>
      <c r="O71" s="232"/>
      <c r="P71" s="233"/>
      <c r="Q71" s="233"/>
      <c r="R71" s="233"/>
      <c r="S71" s="233"/>
      <c r="T71" s="233"/>
      <c r="U71" s="234"/>
      <c r="V71" s="60"/>
    </row>
    <row r="72" spans="1:25" s="38" customFormat="1" ht="15" hidden="1" customHeight="1" thickBot="1">
      <c r="A72" s="93"/>
      <c r="B72" s="48"/>
      <c r="C72" s="50"/>
      <c r="D72" s="50"/>
      <c r="E72" s="49"/>
      <c r="F72" s="45"/>
      <c r="G72" s="50"/>
      <c r="H72" s="51"/>
      <c r="I72" s="51"/>
      <c r="J72" s="51"/>
      <c r="K72" s="54"/>
      <c r="L72" s="93"/>
      <c r="M72" s="97"/>
      <c r="N72" s="98"/>
      <c r="O72" s="232"/>
      <c r="P72" s="233"/>
      <c r="Q72" s="233"/>
      <c r="R72" s="233"/>
      <c r="S72" s="233"/>
      <c r="T72" s="233"/>
      <c r="U72" s="234"/>
      <c r="V72" s="34"/>
    </row>
    <row r="73" spans="1:25" s="38" customFormat="1" ht="15" customHeight="1" thickBot="1">
      <c r="A73" s="93"/>
      <c r="B73" s="276" t="s">
        <v>149</v>
      </c>
      <c r="C73" s="277"/>
      <c r="D73" s="277"/>
      <c r="E73" s="277"/>
      <c r="F73" s="47"/>
      <c r="G73" s="47"/>
      <c r="H73" s="247"/>
      <c r="I73" s="247"/>
      <c r="J73" s="47"/>
      <c r="K73" s="247"/>
      <c r="L73" s="247"/>
      <c r="M73" s="248"/>
      <c r="N73" s="98"/>
      <c r="O73" s="232"/>
      <c r="P73" s="233"/>
      <c r="Q73" s="233"/>
      <c r="R73" s="233"/>
      <c r="S73" s="233"/>
      <c r="T73" s="233"/>
      <c r="U73" s="234"/>
      <c r="V73" s="34"/>
    </row>
    <row r="74" spans="1:25" s="38" customFormat="1" ht="15" customHeight="1" thickBot="1">
      <c r="A74" s="93"/>
      <c r="B74" s="274" t="s">
        <v>117</v>
      </c>
      <c r="C74" s="275"/>
      <c r="D74" s="275">
        <f>'Match data'!E53+'Match data'!F53+VLOOKUP(IF(LEFT(Q3,3)="GMT",Q3,VLOOKUP(Q3,Time!A2:B50,2)),Time!B$51:D$77,3)-2</f>
        <v>42561.875</v>
      </c>
      <c r="E74" s="275"/>
      <c r="F74" s="192" t="str">
        <f>'Match data'!L53</f>
        <v>SAINT-DENIS Stade de France</v>
      </c>
      <c r="G74" s="111" t="str">
        <f>'Match data'!H53</f>
        <v>Winner Match 49</v>
      </c>
      <c r="H74" s="195"/>
      <c r="I74" s="195"/>
      <c r="J74" s="111" t="str">
        <f>'Match data'!K53</f>
        <v>Winner Match 50</v>
      </c>
      <c r="K74" s="195"/>
      <c r="L74" s="253"/>
      <c r="M74" s="254"/>
      <c r="N74" s="98"/>
      <c r="O74" s="232"/>
      <c r="P74" s="233"/>
      <c r="Q74" s="233"/>
      <c r="R74" s="233"/>
      <c r="S74" s="233"/>
      <c r="T74" s="233"/>
      <c r="U74" s="234"/>
      <c r="V74" s="34"/>
    </row>
    <row r="75" spans="1:25" s="38" customFormat="1" ht="23.45" customHeight="1" thickBot="1">
      <c r="A75" s="93"/>
      <c r="B75" s="93"/>
      <c r="C75" s="93"/>
      <c r="D75" s="93"/>
      <c r="E75" s="350" t="s">
        <v>633</v>
      </c>
      <c r="F75" s="350"/>
      <c r="G75" s="93"/>
      <c r="H75" s="93"/>
      <c r="I75" s="99"/>
      <c r="J75" s="99"/>
      <c r="K75" s="93"/>
      <c r="L75" s="93"/>
      <c r="M75" s="93"/>
      <c r="N75" s="98"/>
      <c r="O75" s="204"/>
      <c r="P75" s="205"/>
      <c r="Q75" s="205"/>
      <c r="R75" s="205"/>
      <c r="S75" s="205"/>
      <c r="T75" s="205"/>
      <c r="U75" s="206"/>
      <c r="V75" s="34"/>
    </row>
    <row r="76" spans="1:25" s="38" customFormat="1" ht="19.5" thickBot="1">
      <c r="A76" s="93"/>
      <c r="C76" s="214"/>
      <c r="D76" s="214"/>
      <c r="E76" s="351" t="s">
        <v>601</v>
      </c>
      <c r="F76" s="351"/>
      <c r="G76" s="362" t="s">
        <v>634</v>
      </c>
      <c r="H76" s="363"/>
      <c r="I76" s="363"/>
      <c r="J76" s="184" t="str">
        <f>Config!C69</f>
        <v>Winner Match 51</v>
      </c>
      <c r="K76" s="93"/>
      <c r="L76" s="93"/>
      <c r="M76" s="93"/>
      <c r="N76" s="98"/>
      <c r="O76" s="196"/>
      <c r="P76" s="201"/>
      <c r="Q76" s="201"/>
      <c r="R76" s="202"/>
      <c r="S76" s="202"/>
      <c r="T76" s="202"/>
      <c r="U76" s="203"/>
      <c r="V76" s="34"/>
    </row>
    <row r="77" spans="1:25" s="38" customFormat="1" ht="14.45" customHeight="1">
      <c r="A77" s="93"/>
      <c r="B77" s="93"/>
      <c r="C77" s="93"/>
      <c r="D77" s="93"/>
      <c r="E77" s="351"/>
      <c r="F77" s="351"/>
      <c r="G77" s="93"/>
      <c r="H77" s="93"/>
      <c r="I77" s="99"/>
      <c r="J77" s="99"/>
      <c r="K77" s="93"/>
      <c r="L77" s="93"/>
      <c r="M77" s="93"/>
      <c r="N77" s="100"/>
      <c r="O77" s="93"/>
      <c r="P77" s="93"/>
      <c r="Q77" s="93"/>
      <c r="R77" s="93"/>
      <c r="S77" s="93"/>
      <c r="T77" s="93"/>
      <c r="U77" s="105"/>
      <c r="V77" s="34"/>
    </row>
    <row r="78" spans="1:25" s="38" customFormat="1" hidden="1">
      <c r="A78" s="101"/>
      <c r="B78" s="98"/>
      <c r="C78" s="98"/>
      <c r="D78" s="98"/>
      <c r="E78" s="102"/>
      <c r="F78" s="98"/>
      <c r="G78" s="100"/>
      <c r="H78" s="100"/>
      <c r="I78" s="103"/>
      <c r="J78" s="103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55"/>
    </row>
    <row r="79" spans="1:25" s="38" customFormat="1" hidden="1">
      <c r="A79" s="101"/>
      <c r="B79" s="98"/>
      <c r="C79" s="98"/>
      <c r="D79" s="98"/>
      <c r="E79" s="102"/>
      <c r="F79" s="98"/>
      <c r="G79" s="100"/>
      <c r="H79" s="100"/>
      <c r="I79" s="103"/>
      <c r="J79" s="103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55"/>
    </row>
    <row r="80" spans="1:25" s="38" customFormat="1" ht="14.45" hidden="1" customHeight="1">
      <c r="A80" s="101"/>
      <c r="B80" s="98"/>
      <c r="C80" s="98"/>
      <c r="D80" s="98"/>
      <c r="E80" s="102"/>
      <c r="F80" s="98"/>
      <c r="G80" s="98"/>
      <c r="H80" s="98"/>
      <c r="I80" s="102"/>
      <c r="J80" s="102"/>
      <c r="K80" s="98"/>
      <c r="L80" s="98"/>
      <c r="M80" s="98"/>
      <c r="N80" s="100"/>
      <c r="O80" s="100"/>
      <c r="P80" s="100"/>
      <c r="Q80" s="100"/>
      <c r="R80" s="100"/>
      <c r="S80" s="100"/>
      <c r="T80" s="100"/>
      <c r="U80" s="100"/>
      <c r="V80" s="55"/>
    </row>
    <row r="81" spans="1:25" s="38" customFormat="1" hidden="1">
      <c r="A81" s="101"/>
      <c r="B81" s="98"/>
      <c r="C81" s="98"/>
      <c r="D81" s="98"/>
      <c r="E81" s="102"/>
      <c r="F81" s="98"/>
      <c r="G81" s="98"/>
      <c r="H81" s="98"/>
      <c r="I81" s="102"/>
      <c r="J81" s="102"/>
      <c r="K81" s="98"/>
      <c r="L81" s="98"/>
      <c r="M81" s="98"/>
      <c r="N81" s="100"/>
      <c r="O81" s="100"/>
      <c r="P81" s="100"/>
      <c r="Q81" s="100"/>
      <c r="R81" s="100"/>
      <c r="S81" s="100"/>
      <c r="T81" s="100"/>
      <c r="U81" s="100"/>
      <c r="V81" s="55"/>
    </row>
    <row r="82" spans="1:25" s="38" customFormat="1" hidden="1">
      <c r="A82" s="101"/>
      <c r="B82" s="98"/>
      <c r="C82" s="98"/>
      <c r="D82" s="98"/>
      <c r="E82" s="102"/>
      <c r="F82" s="98"/>
      <c r="G82" s="98"/>
      <c r="H82" s="98"/>
      <c r="I82" s="102"/>
      <c r="J82" s="102"/>
      <c r="K82" s="98"/>
      <c r="L82" s="98"/>
      <c r="M82" s="98"/>
      <c r="N82" s="100"/>
      <c r="O82" s="100"/>
      <c r="P82" s="100"/>
      <c r="Q82" s="100"/>
      <c r="R82" s="100"/>
      <c r="S82" s="100"/>
      <c r="T82" s="100"/>
      <c r="U82" s="100"/>
      <c r="V82" s="55"/>
      <c r="X82" s="32"/>
      <c r="Y82" s="32"/>
    </row>
    <row r="83" spans="1:25" hidden="1">
      <c r="A83" s="101"/>
      <c r="G83" s="98"/>
      <c r="H83" s="98"/>
      <c r="I83" s="102"/>
      <c r="J83" s="102"/>
      <c r="K83" s="98"/>
      <c r="L83" s="98"/>
      <c r="M83" s="98"/>
      <c r="V83" s="55"/>
      <c r="W83" s="38"/>
    </row>
    <row r="84" spans="1:25" hidden="1">
      <c r="A84" s="101"/>
      <c r="G84" s="98"/>
      <c r="H84" s="98"/>
      <c r="I84" s="102"/>
      <c r="J84" s="102"/>
      <c r="K84" s="98"/>
      <c r="L84" s="98"/>
      <c r="M84" s="98"/>
      <c r="V84" s="55"/>
      <c r="W84" s="32"/>
    </row>
    <row r="85" spans="1:25" ht="15.75" hidden="1" thickBot="1">
      <c r="A85" s="104"/>
      <c r="G85" s="98"/>
      <c r="H85" s="98"/>
      <c r="I85" s="102"/>
      <c r="J85" s="102"/>
      <c r="K85" s="98"/>
      <c r="L85" s="98"/>
      <c r="M85" s="98"/>
      <c r="V85" s="55"/>
      <c r="W85" s="32"/>
    </row>
    <row r="86" spans="1:25" ht="14.45" hidden="1" customHeight="1">
      <c r="A86" s="101"/>
      <c r="V86" s="55"/>
      <c r="W86" s="32"/>
    </row>
    <row r="87" spans="1:25" hidden="1">
      <c r="A87" s="101"/>
      <c r="V87" s="55"/>
      <c r="W87" s="32"/>
    </row>
    <row r="88" spans="1:25" hidden="1">
      <c r="A88" s="101"/>
      <c r="V88" s="55"/>
      <c r="W88" s="32"/>
    </row>
    <row r="89" spans="1:25" hidden="1">
      <c r="A89" s="101"/>
      <c r="V89" s="55"/>
      <c r="W89" s="32"/>
    </row>
    <row r="90" spans="1:25" ht="14.45" hidden="1" customHeight="1">
      <c r="A90" s="101"/>
      <c r="V90" s="55"/>
      <c r="W90" s="32"/>
    </row>
    <row r="91" spans="1:25" hidden="1">
      <c r="A91" s="101"/>
      <c r="V91" s="55"/>
      <c r="W91" s="32"/>
    </row>
    <row r="92" spans="1:25" hidden="1">
      <c r="A92" s="101"/>
      <c r="V92" s="55"/>
      <c r="W92" s="32"/>
    </row>
    <row r="93" spans="1:25" hidden="1">
      <c r="A93" s="101"/>
      <c r="V93" s="55"/>
      <c r="W93" s="32"/>
    </row>
    <row r="94" spans="1:25" hidden="1">
      <c r="A94" s="101"/>
      <c r="V94" s="55"/>
      <c r="W94" s="32"/>
    </row>
    <row r="95" spans="1:25" hidden="1">
      <c r="A95" s="101"/>
      <c r="V95" s="55"/>
      <c r="W95" s="32"/>
    </row>
    <row r="96" spans="1:25" hidden="1">
      <c r="A96" s="101"/>
      <c r="V96" s="55"/>
      <c r="W96" s="32"/>
    </row>
    <row r="97" spans="1:23" ht="15.75" hidden="1" thickBot="1">
      <c r="A97" s="104"/>
      <c r="V97" s="55"/>
      <c r="W97" s="32"/>
    </row>
    <row r="98" spans="1:23" hidden="1">
      <c r="V98" s="55"/>
      <c r="W98" s="32"/>
    </row>
    <row r="99" spans="1:23" ht="7.9" hidden="1" customHeight="1">
      <c r="V99" s="55"/>
      <c r="W99" s="32"/>
    </row>
    <row r="100" spans="1:23" hidden="1">
      <c r="V100" s="55"/>
      <c r="W100" s="32"/>
    </row>
    <row r="101" spans="1:23" hidden="1">
      <c r="V101" s="55"/>
      <c r="W101" s="32"/>
    </row>
    <row r="102" spans="1:23" hidden="1">
      <c r="V102" s="55"/>
      <c r="W102" s="32"/>
    </row>
    <row r="103" spans="1:23" hidden="1">
      <c r="V103" s="55"/>
      <c r="W103" s="32"/>
    </row>
    <row r="104" spans="1:23" hidden="1">
      <c r="V104" s="55"/>
      <c r="W104" s="32"/>
    </row>
    <row r="105" spans="1:23" hidden="1">
      <c r="V105" s="55"/>
      <c r="W105" s="32"/>
    </row>
    <row r="106" spans="1:23" hidden="1">
      <c r="V106" s="55"/>
      <c r="W106" s="32"/>
    </row>
    <row r="107" spans="1:23" hidden="1">
      <c r="V107" s="55"/>
      <c r="W107" s="32"/>
    </row>
    <row r="108" spans="1:23" hidden="1">
      <c r="V108" s="55"/>
      <c r="W108" s="32"/>
    </row>
    <row r="109" spans="1:23" hidden="1">
      <c r="V109" s="55"/>
      <c r="W109" s="32"/>
    </row>
    <row r="110" spans="1:23" hidden="1">
      <c r="V110" s="55"/>
      <c r="W110" s="32"/>
    </row>
    <row r="111" spans="1:23" hidden="1">
      <c r="V111" s="55"/>
      <c r="W111" s="32"/>
    </row>
    <row r="112" spans="1:23" hidden="1">
      <c r="V112" s="55"/>
      <c r="W112" s="32"/>
    </row>
    <row r="113" spans="22:23" hidden="1">
      <c r="V113" s="55"/>
      <c r="W113" s="32"/>
    </row>
    <row r="114" spans="22:23" hidden="1">
      <c r="V114" s="55"/>
      <c r="W114" s="32"/>
    </row>
    <row r="115" spans="22:23" hidden="1">
      <c r="V115" s="55"/>
      <c r="W115" s="32"/>
    </row>
    <row r="116" spans="22:23" hidden="1">
      <c r="V116" s="55"/>
      <c r="W116" s="32"/>
    </row>
    <row r="117" spans="22:23" hidden="1">
      <c r="V117" s="55"/>
      <c r="W117" s="32"/>
    </row>
    <row r="118" spans="22:23" hidden="1">
      <c r="V118" s="55"/>
      <c r="W118" s="32"/>
    </row>
    <row r="119" spans="22:23" hidden="1">
      <c r="V119" s="55"/>
      <c r="W119" s="32"/>
    </row>
    <row r="120" spans="22:23" hidden="1">
      <c r="V120" s="55"/>
      <c r="W120" s="32"/>
    </row>
    <row r="121" spans="22:23" hidden="1">
      <c r="V121" s="55"/>
      <c r="W121" s="32"/>
    </row>
    <row r="122" spans="22:23" hidden="1">
      <c r="V122" s="55"/>
      <c r="W122" s="32"/>
    </row>
    <row r="123" spans="22:23" hidden="1">
      <c r="V123" s="55"/>
      <c r="W123" s="32"/>
    </row>
    <row r="124" spans="22:23" hidden="1">
      <c r="V124" s="55"/>
      <c r="W124" s="32"/>
    </row>
    <row r="125" spans="22:23" hidden="1"/>
    <row r="126" spans="22:23" hidden="1"/>
    <row r="127" spans="22:23" hidden="1"/>
  </sheetData>
  <sheetProtection algorithmName="SHA-512" hashValue="rbWaVR8TxykRa9k0IvEprdFR4I2cSr/ABPmeF0BaL17P66wXs3B8zNBjCcYLmNGE1T5YnZFVKb1lgTaaGtIXDQ==" saltValue="uW6+vJmrPU7S538ZK3pnzg==" spinCount="100000" sheet="1" objects="1" scenarios="1"/>
  <mergeCells count="198">
    <mergeCell ref="E75:F75"/>
    <mergeCell ref="E76:F77"/>
    <mergeCell ref="H66:I66"/>
    <mergeCell ref="H73:I73"/>
    <mergeCell ref="O53:P53"/>
    <mergeCell ref="O54:P54"/>
    <mergeCell ref="O55:P55"/>
    <mergeCell ref="O57:P57"/>
    <mergeCell ref="O58:P58"/>
    <mergeCell ref="O63:P63"/>
    <mergeCell ref="L53:M53"/>
    <mergeCell ref="H60:I60"/>
    <mergeCell ref="K73:M73"/>
    <mergeCell ref="L63:M63"/>
    <mergeCell ref="L54:M54"/>
    <mergeCell ref="G76:I76"/>
    <mergeCell ref="L64:M64"/>
    <mergeCell ref="L61:M61"/>
    <mergeCell ref="L62:M62"/>
    <mergeCell ref="O47:P47"/>
    <mergeCell ref="O48:P48"/>
    <mergeCell ref="O49:P49"/>
    <mergeCell ref="O51:P51"/>
    <mergeCell ref="O52:P52"/>
    <mergeCell ref="O41:P41"/>
    <mergeCell ref="O42:P42"/>
    <mergeCell ref="O43:P43"/>
    <mergeCell ref="O45:P45"/>
    <mergeCell ref="O46:P46"/>
    <mergeCell ref="O37:P37"/>
    <mergeCell ref="O39:P39"/>
    <mergeCell ref="O40:P40"/>
    <mergeCell ref="O29:P29"/>
    <mergeCell ref="O30:P30"/>
    <mergeCell ref="O31:P31"/>
    <mergeCell ref="O33:P33"/>
    <mergeCell ref="O34:P34"/>
    <mergeCell ref="O32:U32"/>
    <mergeCell ref="O38:U38"/>
    <mergeCell ref="B2:L5"/>
    <mergeCell ref="Q2:U2"/>
    <mergeCell ref="Q3:U3"/>
    <mergeCell ref="Q4:U4"/>
    <mergeCell ref="B6:U6"/>
    <mergeCell ref="Q5:U5"/>
    <mergeCell ref="O26:U26"/>
    <mergeCell ref="O35:P35"/>
    <mergeCell ref="O36:P36"/>
    <mergeCell ref="B10:U10"/>
    <mergeCell ref="O25:P25"/>
    <mergeCell ref="O27:P27"/>
    <mergeCell ref="O28:P28"/>
    <mergeCell ref="O2:P2"/>
    <mergeCell ref="O3:P3"/>
    <mergeCell ref="O4:P4"/>
    <mergeCell ref="O5:P5"/>
    <mergeCell ref="O22:P22"/>
    <mergeCell ref="O21:P21"/>
    <mergeCell ref="D33:E33"/>
    <mergeCell ref="D16:E16"/>
    <mergeCell ref="H11:I11"/>
    <mergeCell ref="H12:I12"/>
    <mergeCell ref="B27:C27"/>
    <mergeCell ref="B51:C51"/>
    <mergeCell ref="D51:E51"/>
    <mergeCell ref="B52:C52"/>
    <mergeCell ref="D52:E52"/>
    <mergeCell ref="B53:C53"/>
    <mergeCell ref="D53:E53"/>
    <mergeCell ref="B54:C54"/>
    <mergeCell ref="B55:C55"/>
    <mergeCell ref="B56:C56"/>
    <mergeCell ref="O23:P23"/>
    <mergeCell ref="O24:P24"/>
    <mergeCell ref="D48:E48"/>
    <mergeCell ref="D68:E68"/>
    <mergeCell ref="D54:E54"/>
    <mergeCell ref="D55:E55"/>
    <mergeCell ref="D56:E56"/>
    <mergeCell ref="D57:E57"/>
    <mergeCell ref="D58:E58"/>
    <mergeCell ref="D61:E61"/>
    <mergeCell ref="D62:E62"/>
    <mergeCell ref="D63:E63"/>
    <mergeCell ref="L55:M55"/>
    <mergeCell ref="L56:M56"/>
    <mergeCell ref="O59:P59"/>
    <mergeCell ref="O60:P60"/>
    <mergeCell ref="O61:P61"/>
    <mergeCell ref="O62:P62"/>
    <mergeCell ref="K50:M50"/>
    <mergeCell ref="K60:M60"/>
    <mergeCell ref="L51:M51"/>
    <mergeCell ref="B50:E50"/>
    <mergeCell ref="B60:E60"/>
    <mergeCell ref="B66:E66"/>
    <mergeCell ref="D44:E44"/>
    <mergeCell ref="D35:E35"/>
    <mergeCell ref="D36:E36"/>
    <mergeCell ref="D37:E37"/>
    <mergeCell ref="D38:E38"/>
    <mergeCell ref="D39:E39"/>
    <mergeCell ref="D45:E45"/>
    <mergeCell ref="D46:E46"/>
    <mergeCell ref="D47:E47"/>
    <mergeCell ref="L52:M52"/>
    <mergeCell ref="H50:I50"/>
    <mergeCell ref="B40:C40"/>
    <mergeCell ref="B41:C41"/>
    <mergeCell ref="B42:C42"/>
    <mergeCell ref="B43:C43"/>
    <mergeCell ref="D25:E25"/>
    <mergeCell ref="D26:E26"/>
    <mergeCell ref="D27:E27"/>
    <mergeCell ref="D28:E28"/>
    <mergeCell ref="D29:E29"/>
    <mergeCell ref="B44:C44"/>
    <mergeCell ref="B35:C35"/>
    <mergeCell ref="B36:C36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M21:M48"/>
    <mergeCell ref="B28:C28"/>
    <mergeCell ref="B29:C29"/>
    <mergeCell ref="B45:C45"/>
    <mergeCell ref="B46:C46"/>
    <mergeCell ref="B47:C47"/>
    <mergeCell ref="B48:C48"/>
    <mergeCell ref="D13:E13"/>
    <mergeCell ref="B12:C12"/>
    <mergeCell ref="B13:C13"/>
    <mergeCell ref="B14:C14"/>
    <mergeCell ref="B15:C15"/>
    <mergeCell ref="B16:C16"/>
    <mergeCell ref="B17:C17"/>
    <mergeCell ref="B18:C18"/>
    <mergeCell ref="B19:C19"/>
    <mergeCell ref="D14:E14"/>
    <mergeCell ref="D15:E15"/>
    <mergeCell ref="D31:E31"/>
    <mergeCell ref="D32:E32"/>
    <mergeCell ref="D34:E34"/>
    <mergeCell ref="D40:E40"/>
    <mergeCell ref="D41:E41"/>
    <mergeCell ref="D42:E42"/>
    <mergeCell ref="D43:E43"/>
    <mergeCell ref="B63:C63"/>
    <mergeCell ref="K66:M66"/>
    <mergeCell ref="L57:M57"/>
    <mergeCell ref="L58:M58"/>
    <mergeCell ref="L74:M74"/>
    <mergeCell ref="L67:M67"/>
    <mergeCell ref="L68:M68"/>
    <mergeCell ref="K70:M70"/>
    <mergeCell ref="L71:M71"/>
    <mergeCell ref="B74:C74"/>
    <mergeCell ref="D74:E74"/>
    <mergeCell ref="B73:E73"/>
    <mergeCell ref="B64:C64"/>
    <mergeCell ref="D64:E64"/>
    <mergeCell ref="B67:C67"/>
    <mergeCell ref="D67:E67"/>
    <mergeCell ref="B68:C68"/>
    <mergeCell ref="B57:C57"/>
    <mergeCell ref="B58:C58"/>
    <mergeCell ref="B61:C61"/>
    <mergeCell ref="B62:C62"/>
    <mergeCell ref="F7:K9"/>
    <mergeCell ref="M11:U19"/>
    <mergeCell ref="O65:U74"/>
    <mergeCell ref="L7:U9"/>
    <mergeCell ref="D17:E17"/>
    <mergeCell ref="D18:E18"/>
    <mergeCell ref="D19:E19"/>
    <mergeCell ref="D12:E12"/>
    <mergeCell ref="B49:C49"/>
    <mergeCell ref="D49:E49"/>
    <mergeCell ref="B59:C59"/>
    <mergeCell ref="D59:E59"/>
    <mergeCell ref="D20:E20"/>
    <mergeCell ref="D21:E21"/>
    <mergeCell ref="D22:E22"/>
    <mergeCell ref="D23:E23"/>
    <mergeCell ref="D24:E24"/>
    <mergeCell ref="B20:C20"/>
    <mergeCell ref="B21:C21"/>
    <mergeCell ref="B22:C22"/>
    <mergeCell ref="B23:C23"/>
    <mergeCell ref="B24:C24"/>
    <mergeCell ref="B37:C37"/>
    <mergeCell ref="D30:E30"/>
  </mergeCells>
  <conditionalFormatting sqref="B11 F50:K50 F11:K12">
    <cfRule type="expression" dxfId="78" priority="130">
      <formula>$Q$5="Black and White"</formula>
    </cfRule>
  </conditionalFormatting>
  <conditionalFormatting sqref="B50">
    <cfRule type="expression" dxfId="77" priority="128">
      <formula>$Q$5="Black and White"</formula>
    </cfRule>
  </conditionalFormatting>
  <conditionalFormatting sqref="F14 K14">
    <cfRule type="expression" dxfId="76" priority="125">
      <formula>$Q$5="Black and White"</formula>
    </cfRule>
  </conditionalFormatting>
  <conditionalFormatting sqref="F13">
    <cfRule type="expression" dxfId="75" priority="104">
      <formula>$Q$5="Black and White"</formula>
    </cfRule>
  </conditionalFormatting>
  <conditionalFormatting sqref="F51:J51 F53:J53 F55:J55 F57:J57">
    <cfRule type="expression" dxfId="74" priority="100">
      <formula>$Q$5="Black and White"</formula>
    </cfRule>
  </conditionalFormatting>
  <conditionalFormatting sqref="F52:J52 F54:J54 F56:J56 F58:J58">
    <cfRule type="expression" dxfId="73" priority="99">
      <formula>$Q$5="Black and White"</formula>
    </cfRule>
  </conditionalFormatting>
  <conditionalFormatting sqref="H51:I51 H53:I53 H55:I55 H57:I57">
    <cfRule type="expression" dxfId="72" priority="98">
      <formula>$Q$5="Black and White"</formula>
    </cfRule>
  </conditionalFormatting>
  <conditionalFormatting sqref="H52:I52 H54:I54 H56:I56 H58:I58">
    <cfRule type="expression" dxfId="71" priority="97">
      <formula>$Q$5="Black and White"</formula>
    </cfRule>
  </conditionalFormatting>
  <conditionalFormatting sqref="D51 D53 D55 D57">
    <cfRule type="expression" dxfId="70" priority="96">
      <formula>$Q$5="Black and White"</formula>
    </cfRule>
  </conditionalFormatting>
  <conditionalFormatting sqref="D52 D54 D56 D58">
    <cfRule type="expression" dxfId="69" priority="95">
      <formula>$Q$5="Black and White"</formula>
    </cfRule>
  </conditionalFormatting>
  <conditionalFormatting sqref="F16 F18 F20 F22 F24 F26 F28 F30 F32 F34 F36 F38 F40 F42 F44 F46 F48">
    <cfRule type="expression" dxfId="68" priority="93">
      <formula>$Q$5="Black and White"</formula>
    </cfRule>
  </conditionalFormatting>
  <conditionalFormatting sqref="F15 F17 F19 F21 F23 F25 F27 F29 F31 F33 F35 F37 F39 F41 F43 F45 F47">
    <cfRule type="expression" dxfId="67" priority="92">
      <formula>$Q$5="Black and White"</formula>
    </cfRule>
  </conditionalFormatting>
  <conditionalFormatting sqref="G13:J13 G15:J15 G17:J17 G19:J19 G21:J21 G23:J23 G25:J25 G27:J27 G29:J29 G31:J31 G33:J33 G35:J35 G37:J37 G39:J39 G41:J41 G43:J43 G45:J45 G47:J47">
    <cfRule type="expression" dxfId="66" priority="90">
      <formula>$Q$5="Black and White"</formula>
    </cfRule>
  </conditionalFormatting>
  <conditionalFormatting sqref="G14:J14 G16:J16 G18:J18 G20:J20 G22:J22 G24:J24 G26:J26 G28:J28 G30:J30 G32:J32 G34:J34 G36:J36 G38:J38 G40:J40 G42:J42 G44:J44 G46:J46 G48:J48">
    <cfRule type="expression" dxfId="65" priority="89">
      <formula>$Q$5="Black and White"</formula>
    </cfRule>
  </conditionalFormatting>
  <conditionalFormatting sqref="H13:I13 H15:I15 H17:I17 H19:I19 H21:I21 H23:I23 H25:I25 H27:I27 H29:I29 H31:I31 H33:I33 H35:I35 H37:I37 H39:I39 H41:I41 H43:I43 H45:I45 H47:I47">
    <cfRule type="expression" dxfId="64" priority="88">
      <formula>$Q$5="Black and White"</formula>
    </cfRule>
  </conditionalFormatting>
  <conditionalFormatting sqref="H14:I14 H16:I16 H18:I18 H20:I20 H22:I22 H24:I24 H26:I26 H28:I28 H30:I30 H32:I32 H34:I34 H36:I36 H38:I38 H40:I40 H42:I42 H44:I44 H46:I46 H48:I48">
    <cfRule type="expression" dxfId="63" priority="87">
      <formula>$Q$5="Black and White"</formula>
    </cfRule>
  </conditionalFormatting>
  <conditionalFormatting sqref="K13">
    <cfRule type="expression" dxfId="62" priority="86">
      <formula>$Q$5="Black and White"</formula>
    </cfRule>
  </conditionalFormatting>
  <conditionalFormatting sqref="K16 K18 K20 K22 K24 K26 K28 K30 K32 K34 K36 K38 K40 K42 K44 K46 K48">
    <cfRule type="expression" dxfId="61" priority="85">
      <formula>$Q$5="Black and White"</formula>
    </cfRule>
  </conditionalFormatting>
  <conditionalFormatting sqref="K15 K17 K19 K21 K23 K25 K27 K29 K31 K33 K35 K37 K39 K41 K43 K45 K47">
    <cfRule type="expression" dxfId="60" priority="84">
      <formula>$Q$5="Black and White"</formula>
    </cfRule>
  </conditionalFormatting>
  <conditionalFormatting sqref="O21:U21 O27:U27 O33:U33 O39:U39 O45:U45 O51:U51 O57:U57">
    <cfRule type="expression" dxfId="59" priority="77">
      <formula>$Q$5="Black and White"</formula>
    </cfRule>
  </conditionalFormatting>
  <conditionalFormatting sqref="O22:U22 O28:U28 O34:U34 O40:U40 O46:U46 O52:U52 O58:U58 O60:U60">
    <cfRule type="expression" dxfId="58" priority="76">
      <formula>$Q$5="Black and White"</formula>
    </cfRule>
  </conditionalFormatting>
  <conditionalFormatting sqref="O23:U23 O29:U29 O35:U35 O41:U41 O47:U47 O53:U53 O59:U59 O61:U61">
    <cfRule type="expression" dxfId="57" priority="75">
      <formula>$Q$5="Black and White"</formula>
    </cfRule>
  </conditionalFormatting>
  <conditionalFormatting sqref="O24:U24 O30:U30 O36:U36 O42:U42 O48:U48 O54:U54 O62:U62">
    <cfRule type="expression" dxfId="56" priority="74">
      <formula>$Q$5="Black and White"</formula>
    </cfRule>
  </conditionalFormatting>
  <conditionalFormatting sqref="O25:U25 O31:U31 O37:U37 O43:U43 O49:U49 O55:U55 O63:U63">
    <cfRule type="expression" dxfId="55" priority="73">
      <formula>$Q$5="Black and White"</formula>
    </cfRule>
  </conditionalFormatting>
  <conditionalFormatting sqref="B12 D12">
    <cfRule type="expression" dxfId="54" priority="71">
      <formula>$Q$5="Black and White"</formula>
    </cfRule>
  </conditionalFormatting>
  <conditionalFormatting sqref="C11:E11">
    <cfRule type="expression" dxfId="53" priority="70">
      <formula>$Q$5="Black and White"</formula>
    </cfRule>
  </conditionalFormatting>
  <conditionalFormatting sqref="G76:J76">
    <cfRule type="expression" dxfId="52" priority="69">
      <formula>$Q$5="Black and White"</formula>
    </cfRule>
  </conditionalFormatting>
  <conditionalFormatting sqref="F49">
    <cfRule type="expression" dxfId="51" priority="54">
      <formula>$Q$5="Black and White"</formula>
    </cfRule>
  </conditionalFormatting>
  <conditionalFormatting sqref="G49:J49">
    <cfRule type="expression" dxfId="50" priority="53">
      <formula>$Q$5="Black and White"</formula>
    </cfRule>
  </conditionalFormatting>
  <conditionalFormatting sqref="H49:I49">
    <cfRule type="expression" dxfId="49" priority="52">
      <formula>$Q$5="Black and White"</formula>
    </cfRule>
  </conditionalFormatting>
  <conditionalFormatting sqref="K49">
    <cfRule type="expression" dxfId="48" priority="51">
      <formula>$Q$5="Black and White"</formula>
    </cfRule>
  </conditionalFormatting>
  <conditionalFormatting sqref="D13 D15 D17 D19 D21 D23 D25 D27 D29 D31 D33 D35 D37 D39 D41 D43 D45 D47">
    <cfRule type="expression" dxfId="47" priority="49">
      <formula>$Q$5="Black and White"</formula>
    </cfRule>
  </conditionalFormatting>
  <conditionalFormatting sqref="D14 D16 D18 D20 D22 D24 D26 D28 D30 D32 D34 D36 D38 D40 D42 D44 D46 D48">
    <cfRule type="expression" dxfId="46" priority="48">
      <formula>$Q$5="Black and White"</formula>
    </cfRule>
  </conditionalFormatting>
  <conditionalFormatting sqref="B51 B53 B55 B57">
    <cfRule type="expression" dxfId="45" priority="47">
      <formula>$Q$5="Black and White"</formula>
    </cfRule>
  </conditionalFormatting>
  <conditionalFormatting sqref="B52 B54 B56 B58">
    <cfRule type="expression" dxfId="44" priority="46">
      <formula>$Q$5="Black and White"</formula>
    </cfRule>
  </conditionalFormatting>
  <conditionalFormatting sqref="B13 B15 B17 B19 B21 B23 B25 B27 B29 B31 B33 B35 B37 B39 B41 B43 B45 B47">
    <cfRule type="expression" dxfId="43" priority="45">
      <formula>$Q$5="Black and White"</formula>
    </cfRule>
  </conditionalFormatting>
  <conditionalFormatting sqref="B14 B16 B18 B20 B22 B24 B26 B28 B30 B32 B34 B36 B38 B40 B42 B44 B46 B48">
    <cfRule type="expression" dxfId="42" priority="44">
      <formula>$Q$5="Black and White"</formula>
    </cfRule>
  </conditionalFormatting>
  <conditionalFormatting sqref="D49">
    <cfRule type="expression" dxfId="41" priority="43">
      <formula>$Q$5="Black and White"</formula>
    </cfRule>
  </conditionalFormatting>
  <conditionalFormatting sqref="B49">
    <cfRule type="expression" dxfId="40" priority="42">
      <formula>$Q$5="Black and White"</formula>
    </cfRule>
  </conditionalFormatting>
  <conditionalFormatting sqref="D59">
    <cfRule type="expression" dxfId="39" priority="41">
      <formula>$Q$5="Black and White"</formula>
    </cfRule>
  </conditionalFormatting>
  <conditionalFormatting sqref="B59">
    <cfRule type="expression" dxfId="38" priority="40">
      <formula>$Q$5="Black and White"</formula>
    </cfRule>
  </conditionalFormatting>
  <conditionalFormatting sqref="F60:K60">
    <cfRule type="expression" dxfId="37" priority="39">
      <formula>$Q$5="Black and White"</formula>
    </cfRule>
  </conditionalFormatting>
  <conditionalFormatting sqref="B60">
    <cfRule type="expression" dxfId="36" priority="38">
      <formula>$Q$5="Black and White"</formula>
    </cfRule>
  </conditionalFormatting>
  <conditionalFormatting sqref="K51:M51">
    <cfRule type="expression" dxfId="35" priority="37">
      <formula>$Q$5="Black and White"</formula>
    </cfRule>
  </conditionalFormatting>
  <conditionalFormatting sqref="K52:M52">
    <cfRule type="expression" dxfId="34" priority="36">
      <formula>$Q$5="Black and White"</formula>
    </cfRule>
  </conditionalFormatting>
  <conditionalFormatting sqref="K53:M53 K55:M55 K57:M57">
    <cfRule type="expression" dxfId="33" priority="33">
      <formula>$Q$5="Black and White"</formula>
    </cfRule>
  </conditionalFormatting>
  <conditionalFormatting sqref="K54:M54 K56:M56 K58:M58">
    <cfRule type="expression" dxfId="32" priority="32">
      <formula>$Q$5="Black and White"</formula>
    </cfRule>
  </conditionalFormatting>
  <conditionalFormatting sqref="F61:J61 F63:J63">
    <cfRule type="expression" dxfId="31" priority="31">
      <formula>$Q$5="Black and White"</formula>
    </cfRule>
  </conditionalFormatting>
  <conditionalFormatting sqref="F62:J62 F64:J64">
    <cfRule type="expression" dxfId="30" priority="30">
      <formula>$Q$5="Black and White"</formula>
    </cfRule>
  </conditionalFormatting>
  <conditionalFormatting sqref="H61:I61 H63:I63">
    <cfRule type="expression" dxfId="29" priority="29">
      <formula>$Q$5="Black and White"</formula>
    </cfRule>
  </conditionalFormatting>
  <conditionalFormatting sqref="H62:I62 H64:I64">
    <cfRule type="expression" dxfId="28" priority="28">
      <formula>$Q$5="Black and White"</formula>
    </cfRule>
  </conditionalFormatting>
  <conditionalFormatting sqref="D61 D63">
    <cfRule type="expression" dxfId="27" priority="27">
      <formula>$Q$5="Black and White"</formula>
    </cfRule>
  </conditionalFormatting>
  <conditionalFormatting sqref="D62 D64">
    <cfRule type="expression" dxfId="26" priority="26">
      <formula>$Q$5="Black and White"</formula>
    </cfRule>
  </conditionalFormatting>
  <conditionalFormatting sqref="B61 B63">
    <cfRule type="expression" dxfId="25" priority="25">
      <formula>$Q$5="Black and White"</formula>
    </cfRule>
  </conditionalFormatting>
  <conditionalFormatting sqref="B62 B64">
    <cfRule type="expression" dxfId="24" priority="24">
      <formula>$Q$5="Black and White"</formula>
    </cfRule>
  </conditionalFormatting>
  <conditionalFormatting sqref="K61:M61">
    <cfRule type="expression" dxfId="23" priority="23">
      <formula>$Q$5="Black and White"</formula>
    </cfRule>
  </conditionalFormatting>
  <conditionalFormatting sqref="K62:M62">
    <cfRule type="expression" dxfId="22" priority="22">
      <formula>$Q$5="Black and White"</formula>
    </cfRule>
  </conditionalFormatting>
  <conditionalFormatting sqref="K63:M63">
    <cfRule type="expression" dxfId="21" priority="21">
      <formula>$Q$5="Black and White"</formula>
    </cfRule>
  </conditionalFormatting>
  <conditionalFormatting sqref="K64:M64">
    <cfRule type="expression" dxfId="20" priority="20">
      <formula>$Q$5="Black and White"</formula>
    </cfRule>
  </conditionalFormatting>
  <conditionalFormatting sqref="F67:J67">
    <cfRule type="expression" dxfId="19" priority="19">
      <formula>$Q$5="Black and White"</formula>
    </cfRule>
  </conditionalFormatting>
  <conditionalFormatting sqref="F68:J68">
    <cfRule type="expression" dxfId="18" priority="18">
      <formula>$Q$5="Black and White"</formula>
    </cfRule>
  </conditionalFormatting>
  <conditionalFormatting sqref="H67:I67">
    <cfRule type="expression" dxfId="17" priority="17">
      <formula>$Q$5="Black and White"</formula>
    </cfRule>
  </conditionalFormatting>
  <conditionalFormatting sqref="H68:I68">
    <cfRule type="expression" dxfId="16" priority="16">
      <formula>$Q$5="Black and White"</formula>
    </cfRule>
  </conditionalFormatting>
  <conditionalFormatting sqref="D67">
    <cfRule type="expression" dxfId="15" priority="15">
      <formula>$Q$5="Black and White"</formula>
    </cfRule>
  </conditionalFormatting>
  <conditionalFormatting sqref="D68">
    <cfRule type="expression" dxfId="14" priority="14">
      <formula>$Q$5="Black and White"</formula>
    </cfRule>
  </conditionalFormatting>
  <conditionalFormatting sqref="B67">
    <cfRule type="expression" dxfId="13" priority="13">
      <formula>$Q$5="Black and White"</formula>
    </cfRule>
  </conditionalFormatting>
  <conditionalFormatting sqref="B68">
    <cfRule type="expression" dxfId="12" priority="12">
      <formula>$Q$5="Black and White"</formula>
    </cfRule>
  </conditionalFormatting>
  <conditionalFormatting sqref="K67:M67">
    <cfRule type="expression" dxfId="11" priority="11">
      <formula>$Q$5="Black and White"</formula>
    </cfRule>
  </conditionalFormatting>
  <conditionalFormatting sqref="K68:M68">
    <cfRule type="expression" dxfId="10" priority="10">
      <formula>$Q$5="Black and White"</formula>
    </cfRule>
  </conditionalFormatting>
  <conditionalFormatting sqref="F74:J74">
    <cfRule type="expression" dxfId="9" priority="9">
      <formula>$Q$5="Black and White"</formula>
    </cfRule>
  </conditionalFormatting>
  <conditionalFormatting sqref="H74:I74">
    <cfRule type="expression" dxfId="8" priority="8">
      <formula>$Q$5="Black and White"</formula>
    </cfRule>
  </conditionalFormatting>
  <conditionalFormatting sqref="D74">
    <cfRule type="expression" dxfId="7" priority="7">
      <formula>$Q$5="Black and White"</formula>
    </cfRule>
  </conditionalFormatting>
  <conditionalFormatting sqref="B74">
    <cfRule type="expression" dxfId="6" priority="6">
      <formula>$Q$5="Black and White"</formula>
    </cfRule>
  </conditionalFormatting>
  <conditionalFormatting sqref="K74:M74">
    <cfRule type="expression" dxfId="5" priority="5">
      <formula>$Q$5="Black and White"</formula>
    </cfRule>
  </conditionalFormatting>
  <conditionalFormatting sqref="F66:K66">
    <cfRule type="expression" dxfId="4" priority="4">
      <formula>$Q$5="Black and White"</formula>
    </cfRule>
  </conditionalFormatting>
  <conditionalFormatting sqref="B66">
    <cfRule type="expression" dxfId="3" priority="3">
      <formula>$Q$5="Black and White"</formula>
    </cfRule>
  </conditionalFormatting>
  <conditionalFormatting sqref="F73:K73">
    <cfRule type="expression" dxfId="2" priority="2">
      <formula>$Q$5="Black and White"</formula>
    </cfRule>
  </conditionalFormatting>
  <conditionalFormatting sqref="B73">
    <cfRule type="expression" dxfId="1" priority="1">
      <formula>$Q$5="Black and White"</formula>
    </cfRule>
  </conditionalFormatting>
  <dataValidations xWindow="1642" yWindow="573" count="4">
    <dataValidation allowBlank="1" showErrorMessage="1" errorTitle="Goals scored" error="Enter whole number only up to 20" promptTitle="Goals scored" prompt="Whole numbers only" sqref="I49:J49 I59:K59 I65:K65 I69:K69 I72:J72"/>
    <dataValidation type="list" allowBlank="1" showInputMessage="1" showErrorMessage="1" sqref="K72">
      <formula1>$I$34:$I$54</formula1>
    </dataValidation>
    <dataValidation type="list" allowBlank="1" showInputMessage="1" showErrorMessage="1" sqref="V49:V51 V54:V57">
      <formula1>#REF!</formula1>
    </dataValidation>
    <dataValidation showDropDown="1" showInputMessage="1" showErrorMessage="1" sqref="K66:M66 K73:M73 K70:M70 K60:M60"/>
  </dataValidations>
  <hyperlinks>
    <hyperlink ref="B2:L5" r:id="rId1" tooltip="Our soccerwallcharts.com home page" display="2014 FIFA World Cup Brazil Wallchart"/>
    <hyperlink ref="E76" r:id="rId2" display="soccerwallcharts@gmail.com"/>
    <hyperlink ref="M21:M48" r:id="rId3" tooltip="Groove" display="Groove Musis Pass  |  Love Music?  |  Get a free 30-day trial"/>
    <hyperlink ref="M11:U19" r:id="rId4" display="http://www.soccerwallcharts.com/beer.html"/>
    <hyperlink ref="F7:K9" r:id="rId5" tooltip="Office 365" display="https://clkuk.tradedoubler.com/click?p=263915&amp;a=2776874&amp;g=22739520"/>
    <hyperlink ref="L7:U9" r:id="rId6" tooltip="Office 365" display="Office 365 goes where you go, on all your devices. Now on iPad and Android Tablets"/>
    <hyperlink ref="E76:F77" r:id="rId7" tooltip="EMAIL US" display="Contact: soccerwallcharts@gmail.com"/>
    <hyperlink ref="O65:U74" r:id="rId8" tooltip="XBOX" display="https://clkuk.tradedoubler.com/click?p=263915&amp;a=2776874&amp;g=22739532"/>
    <hyperlink ref="B10:U10" r:id="rId9" tooltip="Get the FREE soccerwallcharts UEFA EURO 2016 app by clicking here" display="Get the FREE soccerwallcharts UEFA EURO 2016 app by clicking here"/>
  </hyperlinks>
  <pageMargins left="0.25" right="0.25" top="0.75" bottom="0.75" header="0.3" footer="0.3"/>
  <pageSetup paperSize="9" scale="58" orientation="portrait" horizontalDpi="360" verticalDpi="360" r:id="rId10"/>
  <drawing r:id="rId1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5" id="{D8264489-BD88-4EF4-832E-077CDDF2CA67}">
            <xm:f>IF(Config!#REF!=TRUE,IF(I72=J72,TRUE,FALSE),FALSE)</xm:f>
            <x14:dxf>
              <fill>
                <patternFill>
                  <bgColor rgb="FFFFFF00"/>
                </patternFill>
              </fill>
            </x14:dxf>
          </x14:cfRule>
          <xm:sqref>K72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642" yWindow="573" count="3">
        <x14:dataValidation type="list" allowBlank="1" showErrorMessage="1" errorTitle="Goals scored" error="Enter whole number only up to 20" promptTitle="Goals scored" prompt="Whole numbers only">
          <x14:formula1>
            <xm:f>Config!$F$31:$F$51</xm:f>
          </x14:formula1>
          <xm:sqref>H71:I71 H13:I48 H74:I74 H51:I58 H61:I64 H67:I68 K61:L64 K67:L68 K71:L71 K74:L74 K51:L58</xm:sqref>
        </x14:dataValidation>
        <x14:dataValidation type="list" allowBlank="1" showInputMessage="1" showErrorMessage="1">
          <x14:formula1>
            <xm:f>Config!$M$1:$M$2</xm:f>
          </x14:formula1>
          <xm:sqref>Q5:U5</xm:sqref>
        </x14:dataValidation>
        <x14:dataValidation type="list" allowBlank="1" showInputMessage="1" showErrorMessage="1" promptTitle="Your time zone" prompt="Select your time zone">
          <x14:formula1>
            <xm:f>Time!$A$2:$A$77</xm:f>
          </x14:formula1>
          <xm:sqref>Q3:U3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8"/>
  <dimension ref="A1:B19"/>
  <sheetViews>
    <sheetView topLeftCell="A3" workbookViewId="0">
      <selection activeCell="B19" sqref="B19"/>
    </sheetView>
  </sheetViews>
  <sheetFormatPr defaultColWidth="8.85546875" defaultRowHeight="15"/>
  <cols>
    <col min="1" max="1" width="8.85546875" style="160"/>
    <col min="2" max="2" width="153.85546875" style="160" customWidth="1"/>
    <col min="3" max="16384" width="8.85546875" style="160"/>
  </cols>
  <sheetData>
    <row r="1" spans="1:2">
      <c r="B1" s="190" t="s">
        <v>612</v>
      </c>
    </row>
    <row r="3" spans="1:2">
      <c r="B3" s="160" t="s">
        <v>613</v>
      </c>
    </row>
    <row r="13" spans="1:2">
      <c r="A13" s="160">
        <v>13</v>
      </c>
      <c r="B13" s="160" t="s">
        <v>611</v>
      </c>
    </row>
    <row r="14" spans="1:2" ht="75">
      <c r="A14" s="160">
        <v>14</v>
      </c>
      <c r="B14" s="160" t="s">
        <v>615</v>
      </c>
    </row>
    <row r="15" spans="1:2" ht="135">
      <c r="A15" s="160">
        <v>15</v>
      </c>
      <c r="B15" s="160" t="s">
        <v>625</v>
      </c>
    </row>
    <row r="16" spans="1:2">
      <c r="A16" s="160">
        <v>16</v>
      </c>
      <c r="B16" s="160" t="s">
        <v>626</v>
      </c>
    </row>
    <row r="17" spans="1:2">
      <c r="A17" s="160">
        <v>17</v>
      </c>
      <c r="B17" s="160" t="s">
        <v>627</v>
      </c>
    </row>
    <row r="18" spans="1:2">
      <c r="B18" s="160" t="s">
        <v>628</v>
      </c>
    </row>
    <row r="19" spans="1:2">
      <c r="B19" s="160" t="s">
        <v>629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9"/>
  <dimension ref="B1:U35"/>
  <sheetViews>
    <sheetView workbookViewId="0">
      <selection activeCell="J3" sqref="J3"/>
    </sheetView>
  </sheetViews>
  <sheetFormatPr defaultColWidth="8.85546875" defaultRowHeight="15"/>
  <cols>
    <col min="1" max="2" width="8.85546875" style="13"/>
    <col min="3" max="3" width="16" style="13" bestFit="1" customWidth="1"/>
    <col min="4" max="8" width="8.85546875" style="13"/>
    <col min="9" max="9" width="13.140625" style="13" bestFit="1" customWidth="1"/>
    <col min="10" max="10" width="12" style="13" bestFit="1" customWidth="1"/>
    <col min="11" max="16384" width="8.85546875" style="13"/>
  </cols>
  <sheetData>
    <row r="1" spans="2:15">
      <c r="B1" s="63" t="s">
        <v>72</v>
      </c>
      <c r="C1" s="13" t="s">
        <v>195</v>
      </c>
      <c r="D1" s="64" t="s">
        <v>163</v>
      </c>
      <c r="E1" s="64" t="s">
        <v>157</v>
      </c>
      <c r="F1" s="64" t="s">
        <v>164</v>
      </c>
      <c r="G1" s="64" t="s">
        <v>165</v>
      </c>
      <c r="H1" s="64" t="s">
        <v>156</v>
      </c>
      <c r="I1" s="64"/>
      <c r="J1" s="63" t="s">
        <v>451</v>
      </c>
      <c r="K1" s="63" t="s">
        <v>450</v>
      </c>
      <c r="L1" s="63" t="s">
        <v>72</v>
      </c>
    </row>
    <row r="2" spans="2:15">
      <c r="B2" s="13" t="s">
        <v>64</v>
      </c>
      <c r="C2" s="13" t="str">
        <f>GrpA!C14</f>
        <v>Albania</v>
      </c>
      <c r="D2" s="13">
        <f>GrpA!D14</f>
        <v>0</v>
      </c>
      <c r="E2" s="13">
        <f>GrpA!E14</f>
        <v>0</v>
      </c>
      <c r="F2" s="13">
        <f>GrpA!F14</f>
        <v>0</v>
      </c>
      <c r="G2" s="13">
        <f>GrpA!G14</f>
        <v>0</v>
      </c>
      <c r="H2" s="13">
        <f>GrpA!H14</f>
        <v>0</v>
      </c>
      <c r="I2" s="13">
        <f>COUNTIF(C$2:C$7,"&gt;"&amp;C2)+1</f>
        <v>6</v>
      </c>
      <c r="J2" s="13">
        <f>H2+G2/1000+E2/1000000+I2/1000000000</f>
        <v>6E-9</v>
      </c>
      <c r="K2" s="13">
        <f t="shared" ref="K2:K7" si="0">RANK(J2,J$2:J$7)</f>
        <v>1</v>
      </c>
      <c r="L2" s="13" t="s">
        <v>64</v>
      </c>
      <c r="M2" s="13">
        <f t="shared" ref="M2:M7" si="1">FIND(L2,CONCATENATE(L$11,"ABCDEF"))</f>
        <v>1</v>
      </c>
      <c r="N2" s="13" t="str">
        <f>IF(M2&gt;4,"",L2)</f>
        <v>A</v>
      </c>
      <c r="O2" s="13" t="str">
        <f>CONCATENATE(N2,N3,N4,N5,N6,N7)</f>
        <v>ACEF</v>
      </c>
    </row>
    <row r="3" spans="2:15">
      <c r="B3" s="13" t="s">
        <v>63</v>
      </c>
      <c r="C3" s="13" t="str">
        <f>GrpB!C14</f>
        <v>Wales</v>
      </c>
      <c r="D3" s="13">
        <f>GrpB!D14</f>
        <v>0</v>
      </c>
      <c r="E3" s="13">
        <f>GrpB!E14</f>
        <v>0</v>
      </c>
      <c r="F3" s="13">
        <f>GrpB!F14</f>
        <v>0</v>
      </c>
      <c r="G3" s="13">
        <f>GrpB!G14</f>
        <v>0</v>
      </c>
      <c r="H3" s="13">
        <f>GrpB!H14</f>
        <v>0</v>
      </c>
      <c r="I3" s="13">
        <f t="shared" ref="I3:I7" si="2">COUNTIF(C$2:C$7,"&gt;"&amp;C3)+1</f>
        <v>1</v>
      </c>
      <c r="J3" s="13">
        <f t="shared" ref="J3:J7" si="3">H3+G3/1000+E3/1000000+I3/1000000000</f>
        <v>1.0000000000000001E-9</v>
      </c>
      <c r="K3" s="13">
        <f t="shared" si="0"/>
        <v>6</v>
      </c>
      <c r="L3" s="13" t="s">
        <v>63</v>
      </c>
      <c r="M3" s="13">
        <f t="shared" si="1"/>
        <v>6</v>
      </c>
      <c r="N3" s="13" t="str">
        <f t="shared" ref="N3:N7" si="4">IF(M3&gt;4,"",L3)</f>
        <v/>
      </c>
    </row>
    <row r="4" spans="2:15">
      <c r="B4" s="13" t="s">
        <v>65</v>
      </c>
      <c r="C4" s="13" t="str">
        <f>GrpC!C14</f>
        <v>Poland</v>
      </c>
      <c r="D4" s="13">
        <f>GrpC!D14</f>
        <v>0</v>
      </c>
      <c r="E4" s="13">
        <f>GrpC!E14</f>
        <v>0</v>
      </c>
      <c r="F4" s="13">
        <f>GrpC!F14</f>
        <v>0</v>
      </c>
      <c r="G4" s="13">
        <f>GrpC!G14</f>
        <v>0</v>
      </c>
      <c r="H4" s="13">
        <f>GrpC!H14</f>
        <v>0</v>
      </c>
      <c r="I4" s="13">
        <f t="shared" si="2"/>
        <v>4</v>
      </c>
      <c r="J4" s="13">
        <f t="shared" si="3"/>
        <v>4.0000000000000002E-9</v>
      </c>
      <c r="K4" s="13">
        <f t="shared" si="0"/>
        <v>3</v>
      </c>
      <c r="L4" s="13" t="s">
        <v>65</v>
      </c>
      <c r="M4" s="13">
        <f t="shared" si="1"/>
        <v>3</v>
      </c>
      <c r="N4" s="13" t="str">
        <f t="shared" si="4"/>
        <v>C</v>
      </c>
    </row>
    <row r="5" spans="2:15">
      <c r="B5" s="77" t="s">
        <v>66</v>
      </c>
      <c r="C5" s="13" t="str">
        <f>GrpD!C14</f>
        <v>Turkey</v>
      </c>
      <c r="D5" s="13">
        <f>GrpD!D14</f>
        <v>0</v>
      </c>
      <c r="E5" s="13">
        <f>GrpD!E14</f>
        <v>0</v>
      </c>
      <c r="F5" s="13">
        <f>GrpD!F14</f>
        <v>0</v>
      </c>
      <c r="G5" s="13">
        <f>GrpD!G14</f>
        <v>0</v>
      </c>
      <c r="H5" s="13">
        <f>GrpD!H14</f>
        <v>0</v>
      </c>
      <c r="I5" s="13">
        <f t="shared" si="2"/>
        <v>2</v>
      </c>
      <c r="J5" s="13">
        <f t="shared" si="3"/>
        <v>2.0000000000000001E-9</v>
      </c>
      <c r="K5" s="13">
        <f t="shared" si="0"/>
        <v>5</v>
      </c>
      <c r="L5" s="77" t="s">
        <v>66</v>
      </c>
      <c r="M5" s="13">
        <f t="shared" si="1"/>
        <v>8</v>
      </c>
      <c r="N5" s="13" t="str">
        <f t="shared" si="4"/>
        <v/>
      </c>
    </row>
    <row r="6" spans="2:15">
      <c r="B6" s="77" t="s">
        <v>67</v>
      </c>
      <c r="C6" s="13" t="str">
        <f>GrpE!C14</f>
        <v>Rep Ireland</v>
      </c>
      <c r="D6" s="13">
        <f>GrpE!D14</f>
        <v>0</v>
      </c>
      <c r="E6" s="13">
        <f>GrpE!E14</f>
        <v>0</v>
      </c>
      <c r="F6" s="13">
        <f>GrpE!F14</f>
        <v>0</v>
      </c>
      <c r="G6" s="13">
        <f>GrpE!G14</f>
        <v>0</v>
      </c>
      <c r="H6" s="13">
        <f>GrpE!H14</f>
        <v>0</v>
      </c>
      <c r="I6" s="13">
        <f t="shared" si="2"/>
        <v>3</v>
      </c>
      <c r="J6" s="13">
        <f t="shared" si="3"/>
        <v>3E-9</v>
      </c>
      <c r="K6" s="13">
        <f t="shared" si="0"/>
        <v>4</v>
      </c>
      <c r="L6" s="77" t="s">
        <v>67</v>
      </c>
      <c r="M6" s="13">
        <f t="shared" si="1"/>
        <v>4</v>
      </c>
      <c r="N6" s="13" t="str">
        <f t="shared" si="4"/>
        <v>E</v>
      </c>
    </row>
    <row r="7" spans="2:15">
      <c r="B7" s="77" t="s">
        <v>68</v>
      </c>
      <c r="C7" s="13" t="str">
        <f>GrpF!C14</f>
        <v>Austria</v>
      </c>
      <c r="D7" s="13">
        <f>GrpF!D14</f>
        <v>0</v>
      </c>
      <c r="E7" s="13">
        <f>GrpF!E14</f>
        <v>0</v>
      </c>
      <c r="F7" s="13">
        <f>GrpF!F14</f>
        <v>0</v>
      </c>
      <c r="G7" s="13">
        <f>GrpF!G14</f>
        <v>0</v>
      </c>
      <c r="H7" s="13">
        <f>GrpF!H14</f>
        <v>0</v>
      </c>
      <c r="I7" s="13">
        <f t="shared" si="2"/>
        <v>5</v>
      </c>
      <c r="J7" s="13">
        <f t="shared" si="3"/>
        <v>5.0000000000000001E-9</v>
      </c>
      <c r="K7" s="13">
        <f t="shared" si="0"/>
        <v>2</v>
      </c>
      <c r="L7" s="77" t="s">
        <v>68</v>
      </c>
      <c r="M7" s="13">
        <f t="shared" si="1"/>
        <v>2</v>
      </c>
      <c r="N7" s="13" t="str">
        <f t="shared" si="4"/>
        <v>F</v>
      </c>
    </row>
    <row r="10" spans="2:15">
      <c r="C10" s="13" t="s">
        <v>195</v>
      </c>
      <c r="D10" s="64" t="s">
        <v>163</v>
      </c>
      <c r="E10" s="64" t="s">
        <v>157</v>
      </c>
      <c r="F10" s="64" t="s">
        <v>164</v>
      </c>
      <c r="G10" s="64" t="s">
        <v>165</v>
      </c>
      <c r="H10" s="64" t="s">
        <v>156</v>
      </c>
      <c r="I10" s="64"/>
      <c r="J10" s="64"/>
      <c r="K10" s="64" t="s">
        <v>72</v>
      </c>
    </row>
    <row r="11" spans="2:15">
      <c r="B11" s="13">
        <v>1</v>
      </c>
      <c r="C11" s="13" t="str">
        <f t="shared" ref="C11:H11" si="5">IF($K$2=$B$11,C$2,IF($K$3=$B$11,C$3,IF($K$4=$B$11,C$4,IF($K$5=$B$11,C$5,IF($K$6=$B$11,C$6,C$7)))))</f>
        <v>Albania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K11" s="13" t="str">
        <f>IF($K$2=$B$11,L$2,IF($K$3=$B$11,L$3,IF($K$4=$B$11,L$4,IF($K$5=$B$11,L$5,IF($K$6=$B$11,L$6,L$7)))))</f>
        <v>A</v>
      </c>
      <c r="L11" s="13" t="str">
        <f>CONCATENATE(K11,K12,K13,K14)</f>
        <v>AFCE</v>
      </c>
    </row>
    <row r="12" spans="2:15">
      <c r="B12" s="13">
        <v>2</v>
      </c>
      <c r="C12" s="13" t="str">
        <f t="shared" ref="C12:H12" si="6">IF($K$2=$B$12,C$2,IF($K$3=$B$12,C$3,IF($K$4=$B$12,C$4,IF($K$5=$B$12,C$5,IF($K$6=$B$12,C$6,C$7)))))</f>
        <v>Austria</v>
      </c>
      <c r="D12" s="13">
        <f t="shared" si="6"/>
        <v>0</v>
      </c>
      <c r="E12" s="13">
        <f t="shared" si="6"/>
        <v>0</v>
      </c>
      <c r="F12" s="13">
        <f t="shared" si="6"/>
        <v>0</v>
      </c>
      <c r="G12" s="13">
        <f t="shared" si="6"/>
        <v>0</v>
      </c>
      <c r="H12" s="13">
        <f t="shared" si="6"/>
        <v>0</v>
      </c>
      <c r="K12" s="13" t="str">
        <f>IF($K$2=$B$12,L$2,IF($K$3=$B$12,L$3,IF($K$4=$B$12,L$4,IF($K$5=$B$12,L$5,IF($K$6=$B$12,L$6,L$7)))))</f>
        <v>F</v>
      </c>
    </row>
    <row r="13" spans="2:15">
      <c r="B13" s="13">
        <v>3</v>
      </c>
      <c r="C13" s="13" t="str">
        <f t="shared" ref="C13:H13" si="7">IF($K$2=$B$13,C$2,IF($K$3=$B$13,C$3,IF($K$4=$B$13,C$4,IF($K$5=$B$13,C$5,IF($K$6=$B$13,C$6,C$7)))))</f>
        <v>Poland</v>
      </c>
      <c r="D13" s="13">
        <f t="shared" si="7"/>
        <v>0</v>
      </c>
      <c r="E13" s="13">
        <f t="shared" si="7"/>
        <v>0</v>
      </c>
      <c r="F13" s="13">
        <f t="shared" si="7"/>
        <v>0</v>
      </c>
      <c r="G13" s="13">
        <f t="shared" si="7"/>
        <v>0</v>
      </c>
      <c r="H13" s="13">
        <f t="shared" si="7"/>
        <v>0</v>
      </c>
      <c r="K13" s="13" t="str">
        <f>IF($K$2=$B$13,L$2,IF($K$3=$B$13,L$3,IF($K$4=$B$13,L$4,IF($K$5=$B$13,L$5,IF($K$6=$B$13,L$6,L$7)))))</f>
        <v>C</v>
      </c>
    </row>
    <row r="14" spans="2:15">
      <c r="B14" s="13">
        <v>4</v>
      </c>
      <c r="C14" s="13" t="str">
        <f t="shared" ref="C14:H14" si="8">IF($K$2=$B$14,C$2,IF($K$3=$B$14,C$3,IF($K$4=$B$14,C$4,IF($K$5=$B$14,C$5,IF($K$6=$B$14,C$6,C$7)))))</f>
        <v>Rep Ireland</v>
      </c>
      <c r="D14" s="13">
        <f t="shared" si="8"/>
        <v>0</v>
      </c>
      <c r="E14" s="13">
        <f t="shared" si="8"/>
        <v>0</v>
      </c>
      <c r="F14" s="13">
        <f t="shared" si="8"/>
        <v>0</v>
      </c>
      <c r="G14" s="13">
        <f t="shared" si="8"/>
        <v>0</v>
      </c>
      <c r="H14" s="13">
        <f t="shared" si="8"/>
        <v>0</v>
      </c>
      <c r="K14" s="13" t="str">
        <f>IF($K$2=$B$14,L$2,IF($K$3=$B$14,L$3,IF($K$4=$B$14,L$4,IF($K$5=$B$14,L$5,IF($K$6=$B$14,L$6,L$7)))))</f>
        <v>E</v>
      </c>
    </row>
    <row r="15" spans="2:15">
      <c r="B15" s="13">
        <v>5</v>
      </c>
      <c r="C15" s="13" t="str">
        <f t="shared" ref="C15:H15" si="9">IF($K$2=$B$15,C$2,IF($K$3=$B$15,C$3,IF($K$4=$B$15,C$4,IF($K$5=$B$15,C$5,IF($K$6=$B$15,C$6,C$7)))))</f>
        <v>Turkey</v>
      </c>
      <c r="D15" s="13">
        <f t="shared" si="9"/>
        <v>0</v>
      </c>
      <c r="E15" s="13">
        <f t="shared" si="9"/>
        <v>0</v>
      </c>
      <c r="F15" s="13">
        <f t="shared" si="9"/>
        <v>0</v>
      </c>
      <c r="G15" s="13">
        <f t="shared" si="9"/>
        <v>0</v>
      </c>
      <c r="H15" s="13">
        <f t="shared" si="9"/>
        <v>0</v>
      </c>
      <c r="K15" s="13" t="str">
        <f>IF($K$2=$B$15,L$2,IF($K$3=$B$15,L$3,IF($K$4=$B$15,L$4,IF($K$5=$B$15,L$5,IF($K$6=$B$15,L$6,L$7)))))</f>
        <v>D</v>
      </c>
    </row>
    <row r="16" spans="2:15">
      <c r="B16" s="13">
        <v>6</v>
      </c>
      <c r="C16" s="13" t="str">
        <f t="shared" ref="C16:H16" si="10">IF($K$2=$B$16,C$2,IF($K$3=$B$16,C$3,IF($K$4=$B$16,C$4,IF($K$5=$B$16,C$5,IF($K$6=$B$16,C$6,C$7)))))</f>
        <v>Wales</v>
      </c>
      <c r="D16" s="13">
        <f t="shared" si="10"/>
        <v>0</v>
      </c>
      <c r="E16" s="13">
        <f t="shared" si="10"/>
        <v>0</v>
      </c>
      <c r="F16" s="13">
        <f t="shared" si="10"/>
        <v>0</v>
      </c>
      <c r="G16" s="13">
        <f t="shared" si="10"/>
        <v>0</v>
      </c>
      <c r="H16" s="13">
        <f t="shared" si="10"/>
        <v>0</v>
      </c>
      <c r="K16" s="13" t="str">
        <f>IF($K$2=$B$16,L$2,IF($K$3=$B$16,L$3,IF($K$4=$B$16,L$4,IF($K$5=$B$16,L$5,IF($K$6=$B$16,L$6,L$7)))))</f>
        <v>B</v>
      </c>
    </row>
    <row r="18" spans="3:21">
      <c r="F18" s="13" t="s">
        <v>456</v>
      </c>
      <c r="G18" s="13" t="s">
        <v>457</v>
      </c>
      <c r="H18" s="13" t="s">
        <v>458</v>
      </c>
      <c r="I18" s="77" t="s">
        <v>459</v>
      </c>
      <c r="J18" s="77" t="s">
        <v>460</v>
      </c>
      <c r="K18" s="77" t="s">
        <v>461</v>
      </c>
      <c r="L18" s="77" t="s">
        <v>462</v>
      </c>
      <c r="M18" s="77" t="s">
        <v>463</v>
      </c>
      <c r="N18" s="77" t="s">
        <v>464</v>
      </c>
      <c r="O18" s="77" t="s">
        <v>465</v>
      </c>
      <c r="P18" s="13" t="s">
        <v>466</v>
      </c>
      <c r="Q18" s="13" t="s">
        <v>467</v>
      </c>
      <c r="R18" s="13" t="s">
        <v>468</v>
      </c>
      <c r="S18" s="13" t="s">
        <v>469</v>
      </c>
      <c r="T18" s="13" t="s">
        <v>470</v>
      </c>
    </row>
    <row r="19" spans="3:21">
      <c r="F19" s="13">
        <f t="shared" ref="F19:T19" si="11">IF(F18=$O2,1,0)</f>
        <v>0</v>
      </c>
      <c r="G19" s="13">
        <f t="shared" si="11"/>
        <v>0</v>
      </c>
      <c r="H19" s="13">
        <f t="shared" si="11"/>
        <v>0</v>
      </c>
      <c r="I19" s="13">
        <f t="shared" si="11"/>
        <v>0</v>
      </c>
      <c r="J19" s="13">
        <f t="shared" si="11"/>
        <v>0</v>
      </c>
      <c r="K19" s="13">
        <f t="shared" si="11"/>
        <v>0</v>
      </c>
      <c r="L19" s="13">
        <f t="shared" si="11"/>
        <v>0</v>
      </c>
      <c r="M19" s="13">
        <f t="shared" si="11"/>
        <v>0</v>
      </c>
      <c r="N19" s="13">
        <f t="shared" si="11"/>
        <v>1</v>
      </c>
      <c r="O19" s="13">
        <f t="shared" si="11"/>
        <v>0</v>
      </c>
      <c r="P19" s="13">
        <f t="shared" si="11"/>
        <v>0</v>
      </c>
      <c r="Q19" s="13">
        <f t="shared" si="11"/>
        <v>0</v>
      </c>
      <c r="R19" s="13">
        <f t="shared" si="11"/>
        <v>0</v>
      </c>
      <c r="S19" s="13">
        <f t="shared" si="11"/>
        <v>0</v>
      </c>
      <c r="T19" s="13">
        <f t="shared" si="11"/>
        <v>0</v>
      </c>
    </row>
    <row r="20" spans="3:21">
      <c r="C20" s="13" t="s">
        <v>119</v>
      </c>
      <c r="D20" s="13" t="s">
        <v>440</v>
      </c>
      <c r="E20" s="13" t="s">
        <v>452</v>
      </c>
      <c r="F20" s="77" t="s">
        <v>63</v>
      </c>
      <c r="G20" s="77" t="s">
        <v>67</v>
      </c>
      <c r="H20" s="77" t="s">
        <v>68</v>
      </c>
      <c r="I20" s="77" t="s">
        <v>67</v>
      </c>
      <c r="J20" s="77" t="s">
        <v>68</v>
      </c>
      <c r="K20" s="77" t="s">
        <v>68</v>
      </c>
      <c r="L20" s="77" t="s">
        <v>67</v>
      </c>
      <c r="M20" s="77" t="s">
        <v>68</v>
      </c>
      <c r="N20" s="77" t="s">
        <v>67</v>
      </c>
      <c r="O20" s="77" t="s">
        <v>67</v>
      </c>
      <c r="P20" s="77" t="s">
        <v>67</v>
      </c>
      <c r="Q20" s="77" t="s">
        <v>68</v>
      </c>
      <c r="R20" s="77" t="s">
        <v>68</v>
      </c>
      <c r="S20" s="77" t="s">
        <v>68</v>
      </c>
      <c r="T20" s="77" t="s">
        <v>67</v>
      </c>
    </row>
    <row r="21" spans="3:21">
      <c r="C21" s="13" t="s">
        <v>116</v>
      </c>
      <c r="D21" s="13" t="s">
        <v>438</v>
      </c>
      <c r="E21" s="13" t="s">
        <v>453</v>
      </c>
      <c r="F21" s="77" t="s">
        <v>66</v>
      </c>
      <c r="G21" s="77" t="s">
        <v>64</v>
      </c>
      <c r="H21" s="77" t="s">
        <v>64</v>
      </c>
      <c r="I21" s="77" t="s">
        <v>64</v>
      </c>
      <c r="J21" s="77" t="s">
        <v>64</v>
      </c>
      <c r="K21" s="77" t="s">
        <v>64</v>
      </c>
      <c r="L21" s="77" t="s">
        <v>66</v>
      </c>
      <c r="M21" s="77" t="s">
        <v>66</v>
      </c>
      <c r="N21" s="77" t="s">
        <v>64</v>
      </c>
      <c r="O21" s="77" t="s">
        <v>64</v>
      </c>
      <c r="P21" s="77" t="s">
        <v>66</v>
      </c>
      <c r="Q21" s="77" t="s">
        <v>66</v>
      </c>
      <c r="R21" s="77" t="s">
        <v>65</v>
      </c>
      <c r="S21" s="77" t="s">
        <v>66</v>
      </c>
      <c r="T21" s="77" t="s">
        <v>66</v>
      </c>
    </row>
    <row r="22" spans="3:21">
      <c r="C22" s="13" t="s">
        <v>113</v>
      </c>
      <c r="D22" s="13" t="s">
        <v>439</v>
      </c>
      <c r="E22" s="13" t="s">
        <v>454</v>
      </c>
      <c r="F22" s="77" t="s">
        <v>64</v>
      </c>
      <c r="G22" s="77" t="s">
        <v>63</v>
      </c>
      <c r="H22" s="77" t="s">
        <v>63</v>
      </c>
      <c r="I22" s="77" t="s">
        <v>63</v>
      </c>
      <c r="J22" s="77" t="s">
        <v>63</v>
      </c>
      <c r="K22" s="77" t="s">
        <v>63</v>
      </c>
      <c r="L22" s="77" t="s">
        <v>64</v>
      </c>
      <c r="M22" s="77" t="s">
        <v>64</v>
      </c>
      <c r="N22" s="77" t="s">
        <v>68</v>
      </c>
      <c r="O22" s="77" t="s">
        <v>68</v>
      </c>
      <c r="P22" s="77" t="s">
        <v>63</v>
      </c>
      <c r="Q22" s="77" t="s">
        <v>63</v>
      </c>
      <c r="R22" s="77" t="s">
        <v>63</v>
      </c>
      <c r="S22" s="77" t="s">
        <v>63</v>
      </c>
      <c r="T22" s="77" t="s">
        <v>68</v>
      </c>
    </row>
    <row r="23" spans="3:21">
      <c r="C23" s="13" t="s">
        <v>110</v>
      </c>
      <c r="D23" s="13" t="s">
        <v>437</v>
      </c>
      <c r="E23" s="13" t="s">
        <v>455</v>
      </c>
      <c r="F23" s="77" t="s">
        <v>65</v>
      </c>
      <c r="G23" s="77" t="s">
        <v>65</v>
      </c>
      <c r="H23" s="77" t="s">
        <v>65</v>
      </c>
      <c r="I23" s="77" t="s">
        <v>66</v>
      </c>
      <c r="J23" s="77" t="s">
        <v>66</v>
      </c>
      <c r="K23" s="77" t="s">
        <v>67</v>
      </c>
      <c r="L23" s="77" t="s">
        <v>65</v>
      </c>
      <c r="M23" s="77" t="s">
        <v>65</v>
      </c>
      <c r="N23" s="77" t="s">
        <v>65</v>
      </c>
      <c r="O23" s="77" t="s">
        <v>66</v>
      </c>
      <c r="P23" s="77" t="s">
        <v>65</v>
      </c>
      <c r="Q23" s="77" t="s">
        <v>65</v>
      </c>
      <c r="R23" s="77" t="s">
        <v>67</v>
      </c>
      <c r="S23" s="77" t="s">
        <v>67</v>
      </c>
      <c r="T23" s="77" t="s">
        <v>65</v>
      </c>
    </row>
    <row r="25" spans="3:21">
      <c r="C25" s="13" t="s">
        <v>119</v>
      </c>
      <c r="D25" s="13" t="s">
        <v>440</v>
      </c>
      <c r="F25" s="77" t="str">
        <f>IF(F$19=1,VLOOKUP(F20,$B$2:$C$7,2),"")</f>
        <v/>
      </c>
      <c r="G25" s="77" t="str">
        <f t="shared" ref="G25:T25" si="12">IF(G$19=1,VLOOKUP(G20,$B$2:$C$7,2),"")</f>
        <v/>
      </c>
      <c r="H25" s="77" t="str">
        <f t="shared" si="12"/>
        <v/>
      </c>
      <c r="I25" s="77" t="str">
        <f t="shared" si="12"/>
        <v/>
      </c>
      <c r="J25" s="77" t="str">
        <f t="shared" si="12"/>
        <v/>
      </c>
      <c r="K25" s="77" t="str">
        <f t="shared" si="12"/>
        <v/>
      </c>
      <c r="L25" s="77" t="str">
        <f t="shared" si="12"/>
        <v/>
      </c>
      <c r="M25" s="77" t="str">
        <f t="shared" si="12"/>
        <v/>
      </c>
      <c r="N25" s="77" t="str">
        <f t="shared" si="12"/>
        <v>Rep Ireland</v>
      </c>
      <c r="O25" s="77" t="str">
        <f t="shared" si="12"/>
        <v/>
      </c>
      <c r="P25" s="77" t="str">
        <f t="shared" si="12"/>
        <v/>
      </c>
      <c r="Q25" s="77" t="str">
        <f t="shared" si="12"/>
        <v/>
      </c>
      <c r="R25" s="77" t="str">
        <f t="shared" si="12"/>
        <v/>
      </c>
      <c r="S25" s="77" t="str">
        <f t="shared" si="12"/>
        <v/>
      </c>
      <c r="T25" s="77" t="str">
        <f t="shared" si="12"/>
        <v/>
      </c>
      <c r="U25" s="79" t="str">
        <f>CONCATENATE(F25,G25,H25,I25,J25,K25,L25,M25,N25,O25,P25,Q25,R25,S25,T25)</f>
        <v>Rep Ireland</v>
      </c>
    </row>
    <row r="26" spans="3:21">
      <c r="C26" s="13" t="s">
        <v>116</v>
      </c>
      <c r="D26" s="13" t="s">
        <v>438</v>
      </c>
      <c r="F26" s="77" t="str">
        <f t="shared" ref="F26:T26" si="13">IF(F$19=1,VLOOKUP(F21,$B$2:$C$7,2),"")</f>
        <v/>
      </c>
      <c r="G26" s="77" t="str">
        <f t="shared" si="13"/>
        <v/>
      </c>
      <c r="H26" s="77" t="str">
        <f t="shared" si="13"/>
        <v/>
      </c>
      <c r="I26" s="77" t="str">
        <f t="shared" si="13"/>
        <v/>
      </c>
      <c r="J26" s="77" t="str">
        <f t="shared" si="13"/>
        <v/>
      </c>
      <c r="K26" s="77" t="str">
        <f t="shared" si="13"/>
        <v/>
      </c>
      <c r="L26" s="77" t="str">
        <f t="shared" si="13"/>
        <v/>
      </c>
      <c r="M26" s="77" t="str">
        <f t="shared" si="13"/>
        <v/>
      </c>
      <c r="N26" s="77" t="str">
        <f t="shared" si="13"/>
        <v>Albania</v>
      </c>
      <c r="O26" s="77" t="str">
        <f t="shared" si="13"/>
        <v/>
      </c>
      <c r="P26" s="77" t="str">
        <f t="shared" si="13"/>
        <v/>
      </c>
      <c r="Q26" s="77" t="str">
        <f t="shared" si="13"/>
        <v/>
      </c>
      <c r="R26" s="77" t="str">
        <f t="shared" si="13"/>
        <v/>
      </c>
      <c r="S26" s="77" t="str">
        <f t="shared" si="13"/>
        <v/>
      </c>
      <c r="T26" s="77" t="str">
        <f t="shared" si="13"/>
        <v/>
      </c>
      <c r="U26" s="79" t="str">
        <f t="shared" ref="U26:U28" si="14">CONCATENATE(F26,G26,H26,I26,J26,K26,L26,M26,N26,O26,P26,Q26,R26,S26,T26)</f>
        <v>Albania</v>
      </c>
    </row>
    <row r="27" spans="3:21">
      <c r="C27" s="13" t="s">
        <v>113</v>
      </c>
      <c r="D27" s="13" t="s">
        <v>439</v>
      </c>
      <c r="F27" s="77" t="str">
        <f t="shared" ref="F27:T27" si="15">IF(F$19=1,VLOOKUP(F22,$B$2:$C$7,2),"")</f>
        <v/>
      </c>
      <c r="G27" s="77" t="str">
        <f t="shared" si="15"/>
        <v/>
      </c>
      <c r="H27" s="77" t="str">
        <f t="shared" si="15"/>
        <v/>
      </c>
      <c r="I27" s="77" t="str">
        <f t="shared" si="15"/>
        <v/>
      </c>
      <c r="J27" s="77" t="str">
        <f t="shared" si="15"/>
        <v/>
      </c>
      <c r="K27" s="77" t="str">
        <f t="shared" si="15"/>
        <v/>
      </c>
      <c r="L27" s="77" t="str">
        <f t="shared" si="15"/>
        <v/>
      </c>
      <c r="M27" s="77" t="str">
        <f t="shared" si="15"/>
        <v/>
      </c>
      <c r="N27" s="77" t="str">
        <f t="shared" si="15"/>
        <v>Austria</v>
      </c>
      <c r="O27" s="77" t="str">
        <f t="shared" si="15"/>
        <v/>
      </c>
      <c r="P27" s="77" t="str">
        <f t="shared" si="15"/>
        <v/>
      </c>
      <c r="Q27" s="77" t="str">
        <f t="shared" si="15"/>
        <v/>
      </c>
      <c r="R27" s="77" t="str">
        <f t="shared" si="15"/>
        <v/>
      </c>
      <c r="S27" s="77" t="str">
        <f t="shared" si="15"/>
        <v/>
      </c>
      <c r="T27" s="77" t="str">
        <f t="shared" si="15"/>
        <v/>
      </c>
      <c r="U27" s="79" t="str">
        <f t="shared" si="14"/>
        <v>Austria</v>
      </c>
    </row>
    <row r="28" spans="3:21">
      <c r="C28" s="13" t="s">
        <v>110</v>
      </c>
      <c r="D28" s="13" t="s">
        <v>437</v>
      </c>
      <c r="F28" s="77" t="str">
        <f t="shared" ref="F28:T28" si="16">IF(F$19=1,VLOOKUP(F23,$B$2:$C$7,2),"")</f>
        <v/>
      </c>
      <c r="G28" s="77" t="str">
        <f t="shared" si="16"/>
        <v/>
      </c>
      <c r="H28" s="77" t="str">
        <f t="shared" si="16"/>
        <v/>
      </c>
      <c r="I28" s="77" t="str">
        <f t="shared" si="16"/>
        <v/>
      </c>
      <c r="J28" s="77" t="str">
        <f t="shared" si="16"/>
        <v/>
      </c>
      <c r="K28" s="77" t="str">
        <f t="shared" si="16"/>
        <v/>
      </c>
      <c r="L28" s="77" t="str">
        <f t="shared" si="16"/>
        <v/>
      </c>
      <c r="M28" s="77" t="str">
        <f t="shared" si="16"/>
        <v/>
      </c>
      <c r="N28" s="77" t="str">
        <f t="shared" si="16"/>
        <v>Poland</v>
      </c>
      <c r="O28" s="77" t="str">
        <f t="shared" si="16"/>
        <v/>
      </c>
      <c r="P28" s="77" t="str">
        <f t="shared" si="16"/>
        <v/>
      </c>
      <c r="Q28" s="77" t="str">
        <f t="shared" si="16"/>
        <v/>
      </c>
      <c r="R28" s="77" t="str">
        <f t="shared" si="16"/>
        <v/>
      </c>
      <c r="S28" s="77" t="str">
        <f t="shared" si="16"/>
        <v/>
      </c>
      <c r="T28" s="77" t="str">
        <f t="shared" si="16"/>
        <v/>
      </c>
      <c r="U28" s="79" t="str">
        <f t="shared" si="14"/>
        <v>Poland</v>
      </c>
    </row>
    <row r="32" spans="3:21">
      <c r="C32" s="13" t="s">
        <v>471</v>
      </c>
      <c r="D32" s="13" t="str">
        <f>U27</f>
        <v>Austria</v>
      </c>
      <c r="E32" s="78" t="str">
        <f>IF(SUM(D$2:D$7)=18,D32,C32)</f>
        <v>3rd Place A, B or F</v>
      </c>
    </row>
    <row r="33" spans="3:5">
      <c r="C33" s="13" t="s">
        <v>472</v>
      </c>
      <c r="D33" s="13" t="str">
        <f>U26</f>
        <v>Albania</v>
      </c>
      <c r="E33" s="78" t="str">
        <f t="shared" ref="E33:E35" si="17">IF(SUM(D$2:D$7)=18,D33,C33)</f>
        <v>3rd Place A, C or D</v>
      </c>
    </row>
    <row r="34" spans="3:5">
      <c r="C34" s="13" t="s">
        <v>473</v>
      </c>
      <c r="D34" s="13" t="str">
        <f>U25</f>
        <v>Rep Ireland</v>
      </c>
      <c r="E34" s="78" t="str">
        <f t="shared" si="17"/>
        <v>3rd Place B, E or F</v>
      </c>
    </row>
    <row r="35" spans="3:5">
      <c r="C35" s="13" t="s">
        <v>474</v>
      </c>
      <c r="D35" s="13" t="str">
        <f>U28</f>
        <v>Poland</v>
      </c>
      <c r="E35" s="78" t="str">
        <f t="shared" si="17"/>
        <v>3rd Place C, D or E</v>
      </c>
    </row>
  </sheetData>
  <sortState ref="C32:C35">
    <sortCondition ref="C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GrpF</vt:lpstr>
      <vt:lpstr>GrpE</vt:lpstr>
      <vt:lpstr>GrpD</vt:lpstr>
      <vt:lpstr>GrpC</vt:lpstr>
      <vt:lpstr>GrpB</vt:lpstr>
      <vt:lpstr>GrpA</vt:lpstr>
      <vt:lpstr>Wallchart</vt:lpstr>
      <vt:lpstr>Change log</vt:lpstr>
      <vt:lpstr>3rd place</vt:lpstr>
      <vt:lpstr>Match data</vt:lpstr>
      <vt:lpstr>Config</vt:lpstr>
      <vt:lpstr>Aff</vt:lpstr>
      <vt:lpstr>Time</vt:lpstr>
      <vt:lpstr>MSAdd1</vt:lpstr>
      <vt:lpstr>MSAdd2</vt:lpstr>
      <vt:lpstr>MSAdd3</vt:lpstr>
      <vt:lpstr>MSAdd4</vt:lpstr>
      <vt:lpstr>Teams</vt:lpstr>
      <vt:lpstr>Wallchart!Print_Area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2014 Brazil Excel Wallchart</dc:title>
  <dc:creator>Richard</dc:creator>
  <cp:lastModifiedBy>Leif Andre Brekke</cp:lastModifiedBy>
  <cp:lastPrinted>2016-04-30T19:47:55Z</cp:lastPrinted>
  <dcterms:created xsi:type="dcterms:W3CDTF">2013-07-22T20:56:36Z</dcterms:created>
  <dcterms:modified xsi:type="dcterms:W3CDTF">2016-05-11T09:04:43Z</dcterms:modified>
</cp:coreProperties>
</file>